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5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ccueil" sheetId="1" state="visible" r:id="rId3"/>
    <sheet name="Hypothèses" sheetId="2" state="visible" r:id="rId4"/>
    <sheet name="Détail SAV" sheetId="3" state="visible" r:id="rId5"/>
    <sheet name="Simulation" sheetId="4" state="visible" r:id="rId6"/>
    <sheet name="Synthèse" sheetId="5" state="visible" r:id="rId7"/>
    <sheet name="Comparatif" sheetId="6" state="visible" r:id="rId8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<sst xmlns="http://schemas.openxmlformats.org/spreadsheetml/2006/main" count="182" uniqueCount="169">
  <si>
    <t xml:space="preserve">SIMULATEUR P.H.A.A.R.</t>
  </si>
  <si>
    <t xml:space="preserve">Programme Humain d'Accompagnement et d'Accumulation Récurrente</t>
  </si>
  <si>
    <t xml:space="preserve">Construire aujourd'hui ce qui rapporte demain.</t>
  </si>
  <si>
    <t xml:space="preserve">  COMMENT UTILISER CE SIMULATEUR</t>
  </si>
  <si>
    <t xml:space="preserve">1.</t>
  </si>
  <si>
    <t xml:space="preserve">Allez sur l'onglet « Hypothèses »</t>
  </si>
  <si>
    <t xml:space="preserve">Saisissez vos chiffres dans les cases JAUNES</t>
  </si>
  <si>
    <t xml:space="preserve">2.</t>
  </si>
  <si>
    <t xml:space="preserve">Consultez l'onglet « Détail SAV »</t>
  </si>
  <si>
    <t xml:space="preserve">Comprenez la structure du SAV à 215€/an</t>
  </si>
  <si>
    <t xml:space="preserve">3.</t>
  </si>
  <si>
    <t xml:space="preserve">Consultez l'onglet « Simulation »</t>
  </si>
  <si>
    <t xml:space="preserve">Voyez vos revenus année par année sur 30 ans</t>
  </si>
  <si>
    <t xml:space="preserve">4.</t>
  </si>
  <si>
    <t xml:space="preserve">Consultez l'onglet « Synthèse »</t>
  </si>
  <si>
    <t xml:space="preserve">Vue d'ensemble + graphique d'évolution</t>
  </si>
  <si>
    <t xml:space="preserve">5.</t>
  </si>
  <si>
    <t xml:space="preserve">Comparez sur l'onglet « Comparatif »</t>
  </si>
  <si>
    <t xml:space="preserve">Plombier classique vs Partenaire PHAAR</t>
  </si>
  <si>
    <t xml:space="preserve">  CODE COULEUR DU SIMULATEUR</t>
  </si>
  <si>
    <t xml:space="preserve">Cases JAUNES : à remplir par vous (vos hypothèses)</t>
  </si>
  <si>
    <t xml:space="preserve">Cases VERTES : résultats calculés automatiquement</t>
  </si>
  <si>
    <t xml:space="preserve">Cases ROUGES : alertes ou comparaison défavorable</t>
  </si>
  <si>
    <t xml:space="preserve">Cases CRÈME : informations / contexte</t>
  </si>
  <si>
    <t xml:space="preserve">⚠  Les chiffres préremplis sont des EXEMPLES indicatifs. Remplacez-les par vos chiffres réels (voir hypothèses).</t>
  </si>
  <si>
    <t xml:space="preserve">Contact : phaar.france@gmail.com  |  06 95 41 83 82  |  #phaar — Le Programme Visionnaire</t>
  </si>
  <si>
    <t xml:space="preserve">HYPOTHÈSES DU SIMULATEUR</t>
  </si>
  <si>
    <t xml:space="preserve">Modifiez les cases JAUNES selon votre activité réelle. Les autres feuilles s'actualisent automatiquement.</t>
  </si>
  <si>
    <t xml:space="preserve">  1.  ACTIVITÉ DU PLOMBIER</t>
  </si>
  <si>
    <t xml:space="preserve">Nombre d'installations par an</t>
  </si>
  <si>
    <t xml:space="preserve">/ an</t>
  </si>
  <si>
    <t xml:space="preserve">Rythme réaliste plombier indépendant</t>
  </si>
  <si>
    <t xml:space="preserve">Croissance annuelle des installations</t>
  </si>
  <si>
    <t xml:space="preserve">% / an</t>
  </si>
  <si>
    <t xml:space="preserve">0% par défaut (rythme stable)</t>
  </si>
  <si>
    <t xml:space="preserve">Nombre d'années d'activité avant retraite</t>
  </si>
  <si>
    <t xml:space="preserve">années</t>
  </si>
  <si>
    <t xml:space="preserve">Durée pendant laquelle vous installez</t>
  </si>
  <si>
    <t xml:space="preserve">Durée de rémunération post-retraite</t>
  </si>
  <si>
    <t xml:space="preserve">10 ans transmissibles aux héritiers</t>
  </si>
  <si>
    <t xml:space="preserve">  2.  TARIFS ADOUCISSEUR (HORS OSMOSEUR)</t>
  </si>
  <si>
    <t xml:space="preserve">Prix de vente conseillé client (TTC)</t>
  </si>
  <si>
    <t xml:space="preserve">€ TTC</t>
  </si>
  <si>
    <t xml:space="preserve">Prix de vente public conseillé</t>
  </si>
  <si>
    <t xml:space="preserve">Achat adoucisseur Hague auprès EWS</t>
  </si>
  <si>
    <t xml:space="preserve">€</t>
  </si>
  <si>
    <t xml:space="preserve">Prix d'achat plombier EWS</t>
  </si>
  <si>
    <t xml:space="preserve">Achat kit pré-filtre + charbon actif</t>
  </si>
  <si>
    <t xml:space="preserve">Kit complémentaire EWS</t>
  </si>
  <si>
    <t xml:space="preserve">  2bis.  OSMOSEUR (UPSELL ÉTALÉ 1-4 ANS APRÈS ADOU)</t>
  </si>
  <si>
    <t xml:space="preserve">Taux total d'ajout d'un osmoseur</t>
  </si>
  <si>
    <t xml:space="preserve">%</t>
  </si>
  <si>
    <t xml:space="preserve">20% des clients adou — étalé sur 4 ans</t>
  </si>
  <si>
    <t xml:space="preserve">Forfait pose plombier sur osmoseur</t>
  </si>
  <si>
    <t xml:space="preserve">Forfait d'installation osmoseur</t>
  </si>
  <si>
    <t xml:space="preserve">  3.  RÉTRIBUTION RÉCURRENTE SAV (P.H.A.A.R.)</t>
  </si>
  <si>
    <t xml:space="preserve">Rétribution plombier / contrat SAV adou</t>
  </si>
  <si>
    <t xml:space="preserve">€ / an</t>
  </si>
  <si>
    <t xml:space="preserve">Sur SAV annuel client à 215€ (EWS)</t>
  </si>
  <si>
    <t xml:space="preserve">Rétribution plombier / contrat SAV osmoseur</t>
  </si>
  <si>
    <t xml:space="preserve">Sur SAV osmoseur (200€ après remise)</t>
  </si>
  <si>
    <t xml:space="preserve">Taux SAV — années 1 à 5 (jeunesse du parc)</t>
  </si>
  <si>
    <t xml:space="preserve">90% chez EWS depuis 2019 (vs 65% marché)</t>
  </si>
  <si>
    <t xml:space="preserve">Taux SAV — années 6+ (stabilisation)</t>
  </si>
  <si>
    <t xml:space="preserve">80% en croisière, érosion légère maîtrisée</t>
  </si>
  <si>
    <t xml:space="preserve">Durée moyenne d'un client (rétention)</t>
  </si>
  <si>
    <t xml:space="preserve">Durée de vie du matériel Hague</t>
  </si>
  <si>
    <t xml:space="preserve">  4.  COÛT D'ADHÉSION AU PROGRAMME P.H.A.A.R.</t>
  </si>
  <si>
    <t xml:space="preserve">Adhésion année 1 (tarif promo -50%)</t>
  </si>
  <si>
    <t xml:space="preserve">€ (an 1)</t>
  </si>
  <si>
    <t xml:space="preserve">≈ 1 €/jour — prélevé sur la 1ère vente</t>
  </si>
  <si>
    <t xml:space="preserve">Coût annuel à partir de l'année 2</t>
  </si>
  <si>
    <t xml:space="preserve">≈ 2 €/jour — réparti sur 1ère et 3ème vente</t>
  </si>
  <si>
    <t xml:space="preserve">  dont évolution du programme</t>
  </si>
  <si>
    <t xml:space="preserve">1 €/jour — maintien et outils P.H.A.A.R.</t>
  </si>
  <si>
    <t xml:space="preserve">  dont SAV EWS + secrétariat</t>
  </si>
  <si>
    <t xml:space="preserve">1 €/jour — gestion SAV mutualisée</t>
  </si>
  <si>
    <t xml:space="preserve">ℹ️  Le coût du programme NE PEUT PAS être répercuté sur le client final. Il est intégré dans 1 à 2 ventes/an et reste largement bénéficiaire.</t>
  </si>
  <si>
    <t xml:space="preserve">⚠  Tous ces chiffres sont les chiffres réels EWS / P.H.A.A.R. 2025. Demandez votre simulation officielle à phaar.france@gmail.com</t>
  </si>
  <si>
    <t xml:space="preserve">DÉTAIL DU CONTRAT SAV ANNUEL</t>
  </si>
  <si>
    <t xml:space="preserve">Transparence des prix et rétribution plombier</t>
  </si>
  <si>
    <t xml:space="preserve">  FACTURATION EWS AU CLIENT FINAL  —  215 € / an</t>
  </si>
  <si>
    <t xml:space="preserve">Élément du système</t>
  </si>
  <si>
    <t xml:space="preserve">Montant TTC / an</t>
  </si>
  <si>
    <t xml:space="preserve">% du total</t>
  </si>
  <si>
    <t xml:space="preserve">Pré-filtre anti-sédiments</t>
  </si>
  <si>
    <t xml:space="preserve">Adoucisseur Hague Pura-Tech</t>
  </si>
  <si>
    <t xml:space="preserve">Filtre charbon actif bloc</t>
  </si>
  <si>
    <t xml:space="preserve">TOTAL CONTRAT SAV ANNUEL</t>
  </si>
  <si>
    <t xml:space="preserve">100%</t>
  </si>
  <si>
    <t xml:space="preserve">  RÉTRIBUTION VERSÉE AU PLOMBIER  —  20 € / an / contrat</t>
  </si>
  <si>
    <t xml:space="preserve">Élément</t>
  </si>
  <si>
    <t xml:space="preserve">Montant</t>
  </si>
  <si>
    <t xml:space="preserve">Prix SAV facturé au client (EWS)</t>
  </si>
  <si>
    <t xml:space="preserve">Rétribution plombier (par contrat / an)</t>
  </si>
  <si>
    <t xml:space="preserve">Part rétribution / prix SAV</t>
  </si>
  <si>
    <t xml:space="preserve">Coût restant pour EWS (matériel + visite)</t>
  </si>
  <si>
    <t xml:space="preserve">  MÉCANIQUE DE L'ACCUMULATION RÉCURRENTE</t>
  </si>
  <si>
    <t xml:space="preserve">Chaque adoucisseur Hague que vous installez vous rapporte 20 € / an, tant que le client est sous contrat SAV avec EWS.</t>
  </si>
  <si>
    <t xml:space="preserve">Nombre de clients en SAV</t>
  </si>
  <si>
    <t xml:space="preserve">Rétribution annuelle plombier</t>
  </si>
  <si>
    <t xml:space="preserve">Sur 10 ans</t>
  </si>
  <si>
    <t xml:space="preserve">"Chaque pose d'aujourd'hui devient un revenu de demain."</t>
  </si>
  <si>
    <t xml:space="preserve">  BONUS : LE CAS DE L'OSMOSEUR  (1 INSTALL SUR 4)</t>
  </si>
  <si>
    <t xml:space="preserve">« On place naturellement un osmoseur 1 fois sur 5. Cela double la commission, le SAV et la rétribution récurrente. »</t>
  </si>
  <si>
    <t xml:space="preserve">Configuration</t>
  </si>
  <si>
    <t xml:space="preserve">SAV facturé client / an</t>
  </si>
  <si>
    <t xml:space="preserve">Rétribution plombier / an</t>
  </si>
  <si>
    <t xml:space="preserve">Adoucisseur seul</t>
  </si>
  <si>
    <t xml:space="preserve">+ Osmoseur</t>
  </si>
  <si>
    <t xml:space="preserve">L'osmoseur coûterait normalement 260 €/an en SAV. Une remise fidélité de 60 € est accordée au client → 200 €/an.  La rétribution plombier passe de 20 € à 40 €/an : elle DOUBLE.</t>
  </si>
  <si>
    <t xml:space="preserve">  L'OSMOSEUR : LA VENTE QUI BOOSTE TOUT</t>
  </si>
  <si>
    <t xml:space="preserve">Forfait installation osmoseur (par le plombier)</t>
  </si>
  <si>
    <t xml:space="preserve">Rétribution récurrente SAV osmoseur (additionnelle)</t>
  </si>
  <si>
    <t xml:space="preserve">20 € / an</t>
  </si>
  <si>
    <t xml:space="preserve">📈  Sur 100 installations, 20 ont un osmoseur en plus  →  +5 000 € de forfait install + 400 €/an de SAV récurrent en plus</t>
  </si>
  <si>
    <t xml:space="preserve">SIMULATION SUR 30 ANS</t>
  </si>
  <si>
    <t xml:space="preserve">Évolution de vos revenus PHAAR — activité + rémunération récurrente + bonus + post-retraite</t>
  </si>
  <si>
    <t xml:space="preserve">Année</t>
  </si>
  <si>
    <t xml:space="preserve">N°</t>
  </si>
  <si>
    <t xml:space="preserve">Statut</t>
  </si>
  <si>
    <t xml:space="preserve">Installs / an</t>
  </si>
  <si>
    <t xml:space="preserve">Parc cumulé</t>
  </si>
  <si>
    <t xml:space="preserve">Marge adou (€)</t>
  </si>
  <si>
    <t xml:space="preserve">Marge osmoseur (€)</t>
  </si>
  <si>
    <t xml:space="preserve">SAV adou (€)</t>
  </si>
  <si>
    <t xml:space="preserve">SAV osmoseur (€)</t>
  </si>
  <si>
    <t xml:space="preserve">Bonus PHAAR (€)</t>
  </si>
  <si>
    <t xml:space="preserve">Coût PHAAR (€)</t>
  </si>
  <si>
    <t xml:space="preserve">TOTAL NET ANNÉE (€)</t>
  </si>
  <si>
    <t xml:space="preserve">Cumul net total (€)</t>
  </si>
  <si>
    <t xml:space="preserve">TOTAL 30 ANS</t>
  </si>
  <si>
    <t xml:space="preserve">SYNTHÈSE — VOS REVENUS P.H.A.A.R.</t>
  </si>
  <si>
    <t xml:space="preserve">Vue d'ensemble basée sur vos hypothèses</t>
  </si>
  <si>
    <t xml:space="preserve">TOTAL CUMULÉ NET
sur 30 ans</t>
  </si>
  <si>
    <t xml:space="preserve">Revenu net moyen
annuel</t>
  </si>
  <si>
    <t xml:space="preserve">Pic annuel net
(meilleure année)</t>
  </si>
  <si>
    <t xml:space="preserve">Installations totales
sur la carrière</t>
  </si>
  <si>
    <t xml:space="preserve">Revenu net post-retraite
cumulé</t>
  </si>
  <si>
    <t xml:space="preserve">Parc client à
la retraite</t>
  </si>
  <si>
    <t xml:space="preserve">  RÉPARTITION DES REVENUS SUR 30 ANS</t>
  </si>
  <si>
    <t xml:space="preserve">Source de revenus</t>
  </si>
  <si>
    <t xml:space="preserve">Total 30 ans</t>
  </si>
  <si>
    <t xml:space="preserve">Marge sur adoucisseurs (vente initiale)</t>
  </si>
  <si>
    <t xml:space="preserve">Marge sur osmoseurs (1 install sur 5)</t>
  </si>
  <si>
    <t xml:space="preserve">SAV récurrent adoucisseurs</t>
  </si>
  <si>
    <t xml:space="preserve">SAV récurrent osmoseurs</t>
  </si>
  <si>
    <t xml:space="preserve">Bonus PHAAR</t>
  </si>
  <si>
    <t xml:space="preserve">(−) Coût adhésion programme PHAAR</t>
  </si>
  <si>
    <t xml:space="preserve">TOTAL NET</t>
  </si>
  <si>
    <t xml:space="preserve">"Construire aujourd'hui ce qui rapporte demain."</t>
  </si>
  <si>
    <t xml:space="preserve">#PHAAR — Le Programme Visionnaire   |   phaar.france@gmail.com   |   06 95 41 83 82</t>
  </si>
  <si>
    <t xml:space="preserve">COMPARATIF : CLASSIQUE vs P.H.A.A.R.</t>
  </si>
  <si>
    <t xml:space="preserve">Plombier classique vs Partenaire PHAAR — sur la même durée d'activité</t>
  </si>
  <si>
    <t xml:space="preserve">Critère</t>
  </si>
  <si>
    <t xml:space="preserve">Plombier classique</t>
  </si>
  <si>
    <t xml:space="preserve">Partenaire PHAAR</t>
  </si>
  <si>
    <t xml:space="preserve">Écart</t>
  </si>
  <si>
    <t xml:space="preserve">Marge sur installations adoucisseurs</t>
  </si>
  <si>
    <t xml:space="preserve">Marge sur installations osmoseurs (1/5)</t>
  </si>
  <si>
    <t xml:space="preserve">Rétribution SAV récurrente adoucisseurs</t>
  </si>
  <si>
    <t xml:space="preserve">Rétribution SAV récurrente osmoseurs</t>
  </si>
  <si>
    <t xml:space="preserve">Bonus PHAAR (supprimé en 2025)</t>
  </si>
  <si>
    <t xml:space="preserve">(−) Coût adhésion PHAAR</t>
  </si>
  <si>
    <t xml:space="preserve">Rémunération nette post-retraite (10 ans)</t>
  </si>
  <si>
    <t xml:space="preserve">TOTAL CUMULÉ</t>
  </si>
  <si>
    <t xml:space="preserve">AVEC PHAAR, VOUS GAGNEZ EN PLUS :</t>
  </si>
  <si>
    <t xml:space="preserve">"Une longueur d'avance aujourd'hui. Un avantage durable demain."</t>
  </si>
  <si>
    <t xml:space="preserve">Demandez votre simulation personnalisée : phaar.france@gmail.com  |  06 95 41 83 82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</si>
</sst>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0"/>
    <numFmt numFmtId="166" formatCode="0.0%"/>
    <numFmt numFmtId="167" formatCode="#,##0&quot; €&quot;"/>
    <numFmt numFmtId="168" formatCode="#,##0&quot; clients&quot;"/>
    <numFmt numFmtId="169" formatCode="#,##0"/>
    <numFmt numFmtId="170" formatCode="\-#,##0&quot; €&quot;;#,##0&quot; €&quot;;\-"/>
    <numFmt numFmtId="171" formatCode="#,##0&quot; installs&quot;"/>
    <numFmt numFmtId="172" formatCode="\+#,##0&quot; €&quot;;\-#,##0&quot; €&quot;;\-"/>
  </numFmts>
  <fonts count="43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8"/>
      <color rgb="FFFFFFFF"/>
      <name val="Arial"/>
      <family val="0"/>
      <charset val="1"/>
    </font>
    <font>
      <i val="true"/>
      <sz val="12"/>
      <color rgb="FF8B6914"/>
      <name val="Arial"/>
      <family val="0"/>
      <charset val="1"/>
    </font>
    <font>
      <i val="true"/>
      <sz val="11"/>
      <color rgb="FF8B6914"/>
      <name val="Arial"/>
      <family val="0"/>
      <charset val="1"/>
    </font>
    <font>
      <b val="true"/>
      <sz val="13"/>
      <color rgb="FFFFFFFF"/>
      <name val="Arial"/>
      <family val="0"/>
      <charset val="1"/>
    </font>
    <font>
      <b val="true"/>
      <sz val="14"/>
      <color rgb="FF8B6914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sz val="10"/>
      <name val="Arial"/>
      <family val="0"/>
      <charset val="1"/>
    </font>
    <font>
      <i val="true"/>
      <sz val="10"/>
      <color rgb="FFC0392B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20"/>
      <color rgb="FFFFFFFF"/>
      <name val="Arial"/>
      <family val="0"/>
      <charset val="1"/>
    </font>
    <font>
      <i val="true"/>
      <sz val="10"/>
      <color rgb="FF8B6914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b val="true"/>
      <sz val="10"/>
      <name val="Arial"/>
      <family val="0"/>
      <charset val="1"/>
    </font>
    <font>
      <b val="true"/>
      <sz val="11"/>
      <color rgb="FF0000FF"/>
      <name val="Arial"/>
      <family val="0"/>
      <charset val="1"/>
    </font>
    <font>
      <i val="true"/>
      <sz val="10"/>
      <color rgb="FF666666"/>
      <name val="Arial"/>
      <family val="0"/>
      <charset val="1"/>
    </font>
    <font>
      <i val="true"/>
      <sz val="9"/>
      <color rgb="FF555555"/>
      <name val="Arial"/>
      <family val="0"/>
      <charset val="1"/>
    </font>
    <font>
      <i val="true"/>
      <sz val="10"/>
      <color rgb="FF005F8E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color rgb="FF8B6914"/>
      <name val="Arial"/>
      <family val="0"/>
      <charset val="1"/>
    </font>
    <font>
      <b val="true"/>
      <sz val="14"/>
      <color rgb="FFFFFFFF"/>
      <name val="Arial"/>
      <family val="0"/>
      <charset val="1"/>
    </font>
    <font>
      <b val="true"/>
      <sz val="10"/>
      <color rgb="FF8B6914"/>
      <name val="Arial"/>
      <family val="0"/>
      <charset val="1"/>
    </font>
    <font>
      <i val="true"/>
      <sz val="11"/>
      <color rgb="FF1A1A2E"/>
      <name val="Arial"/>
      <family val="0"/>
      <charset val="1"/>
    </font>
    <font>
      <b val="true"/>
      <sz val="11"/>
      <color rgb="FF2E7D32"/>
      <name val="Arial"/>
      <family val="0"/>
      <charset val="1"/>
    </font>
    <font>
      <b val="true"/>
      <i val="true"/>
      <sz val="12"/>
      <color rgb="FF8B6914"/>
      <name val="Arial"/>
      <family val="0"/>
      <charset val="1"/>
    </font>
    <font>
      <i val="true"/>
      <sz val="11"/>
      <color rgb="FF005F8E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2"/>
      <color rgb="FF2E7D32"/>
      <name val="Arial"/>
      <family val="0"/>
      <charset val="1"/>
    </font>
    <font>
      <i val="true"/>
      <sz val="10"/>
      <color rgb="FF1A1A2E"/>
      <name val="Arial"/>
      <family val="0"/>
      <charset val="1"/>
    </font>
    <font>
      <b val="true"/>
      <sz val="11"/>
      <color rgb="FF1A1A2E"/>
      <name val="Arial"/>
      <family val="0"/>
      <charset val="1"/>
    </font>
    <font>
      <b val="true"/>
      <sz val="14"/>
      <color rgb="FF2E7D32"/>
      <name val="Arial"/>
      <family val="0"/>
      <charset val="1"/>
    </font>
    <font>
      <sz val="10"/>
      <color rgb="FFC0392B"/>
      <name val="Arial"/>
      <family val="0"/>
      <charset val="1"/>
    </font>
    <font>
      <b val="true"/>
      <sz val="10"/>
      <color rgb="FF2E7D32"/>
      <name val="Arial"/>
      <family val="0"/>
      <charset val="1"/>
    </font>
    <font>
      <b val="true"/>
      <sz val="16"/>
      <color rgb="FF2E7D32"/>
      <name val="Arial"/>
      <family val="0"/>
      <charset val="1"/>
    </font>
    <font>
      <b val="true"/>
      <i val="true"/>
      <sz val="14"/>
      <color rgb="FF8B6914"/>
      <name val="Arial"/>
      <family val="0"/>
      <charset val="1"/>
    </font>
    <font>
      <b val="true"/>
      <sz val="18"/>
      <color rgb="FF000000"/>
      <name val="Calibri"/>
      <family val="2"/>
    </font>
    <font>
      <sz val="10"/>
      <color rgb="FF000000"/>
      <name val="Calibri"/>
      <family val="2"/>
    </font>
    <font>
      <b val="true"/>
      <sz val="10"/>
      <color rgb="FF000000"/>
      <name val="Calibri"/>
      <family val="2"/>
    </font>
    <font>
      <b val="true"/>
      <sz val="11"/>
      <color rgb="FFC0392B"/>
      <name val="Arial"/>
      <family val="0"/>
      <charset val="1"/>
    </font>
  </fonts>
  <fills count="14">
    <fill>
      <patternFill patternType="none"/>
    </fill>
    <fill>
      <patternFill patternType="gray125"/>
    </fill>
    <fill>
      <patternFill patternType="solid">
        <fgColor rgb="FF0F1B2D"/>
        <bgColor rgb="FF1A1A2E"/>
      </patternFill>
    </fill>
    <fill>
      <patternFill patternType="solid">
        <fgColor rgb="FFFDF6E3"/>
        <bgColor rgb="FFF5EFE0"/>
      </patternFill>
    </fill>
    <fill>
      <patternFill patternType="solid">
        <fgColor rgb="FF005F8E"/>
        <bgColor rgb="FF008080"/>
      </patternFill>
    </fill>
    <fill>
      <patternFill patternType="solid">
        <fgColor rgb="FFFFFF99"/>
        <bgColor rgb="FFFDF6E3"/>
      </patternFill>
    </fill>
    <fill>
      <patternFill patternType="solid">
        <fgColor rgb="FFE8F8E8"/>
        <bgColor rgb="FFE8F4F8"/>
      </patternFill>
    </fill>
    <fill>
      <patternFill patternType="solid">
        <fgColor rgb="FFFBEAEA"/>
        <bgColor rgb="FFF5EFE0"/>
      </patternFill>
    </fill>
    <fill>
      <patternFill patternType="solid">
        <fgColor rgb="FF8B6914"/>
        <bgColor rgb="FF666666"/>
      </patternFill>
    </fill>
    <fill>
      <patternFill patternType="solid">
        <fgColor rgb="FFF5EFE0"/>
        <bgColor rgb="FFFBEAEA"/>
      </patternFill>
    </fill>
    <fill>
      <patternFill patternType="solid">
        <fgColor rgb="FFE8F4F8"/>
        <bgColor rgb="FFE8F8E8"/>
      </patternFill>
    </fill>
    <fill>
      <patternFill patternType="solid">
        <fgColor rgb="FF2E7D32"/>
        <bgColor rgb="FF008000"/>
      </patternFill>
    </fill>
    <fill>
      <patternFill patternType="solid">
        <fgColor rgb="FFF5F5F5"/>
        <bgColor rgb="FFE8F4F8"/>
      </patternFill>
    </fill>
    <fill>
      <patternFill patternType="solid">
        <fgColor rgb="FFC0392B"/>
        <bgColor rgb="FF993366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/>
      <top style="thin">
        <color rgb="FFCCCCCC"/>
      </top>
      <bottom style="thin">
        <color rgb="FFCCCCCC"/>
      </bottom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 diagonalUp="false" diagonalDown="false">
      <left style="medium">
        <color rgb="FFD4A017"/>
      </left>
      <right/>
      <top style="medium">
        <color rgb="FFD4A017"/>
      </top>
      <bottom style="medium">
        <color rgb="FFD4A017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4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5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0" fillId="6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7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7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8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7" fillId="9" borderId="0" xfId="0" applyFont="true" applyBorder="false" applyAlignment="true" applyProtection="false">
      <alignment horizontal="left" vertical="center" textRotation="0" wrapText="false" indent="1" shrinkToFit="false"/>
      <protection locked="true" hidden="false"/>
    </xf>
    <xf numFmtId="165" fontId="18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20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18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8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1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2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3" fillId="9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7" fontId="9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8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24" fillId="8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4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25" fillId="9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7" fontId="1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24" fillId="11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6" fillId="3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9" fillId="9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27" fillId="6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23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8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3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3" fillId="9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3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31" fillId="6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8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2" fillId="3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3" fillId="3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7" fontId="34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7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11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0" fillId="12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12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0" fillId="12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12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35" fillId="1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7" fillId="1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36" fillId="1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35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7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36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8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6" fillId="8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6" fillId="1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8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37" fillId="6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4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1" fontId="37" fillId="6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37" fillId="6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8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1" fillId="12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7" fontId="11" fillId="1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1" fillId="1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3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7" fontId="11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1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7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7" fontId="12" fillId="7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2" fillId="7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7" fillId="6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6" fontId="27" fillId="6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8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9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7" fontId="33" fillId="7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2" fontId="27" fillId="6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42" fillId="7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24" fillId="1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2" fontId="24" fillId="8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4" fillId="6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B6914"/>
      <rgbColor rgb="FF800080"/>
      <rgbColor rgb="FF008080"/>
      <rgbColor rgb="FFCCCCCC"/>
      <rgbColor rgb="FF878787"/>
      <rgbColor rgb="FF9999FF"/>
      <rgbColor rgb="FF993366"/>
      <rgbColor rgb="FFFDF6E3"/>
      <rgbColor rgb="FFE8F4F8"/>
      <rgbColor rgb="FF660066"/>
      <rgbColor rgb="FFFF8080"/>
      <rgbColor rgb="FF005F8E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8F8E8"/>
      <rgbColor rgb="FFF5EFE0"/>
      <rgbColor rgb="FFFFFF99"/>
      <rgbColor rgb="FFF5F5F5"/>
      <rgbColor rgb="FFFF99CC"/>
      <rgbColor rgb="FFCC99FF"/>
      <rgbColor rgb="FFFBEAEA"/>
      <rgbColor rgb="FF4A7EBB"/>
      <rgbColor rgb="FF33CCCC"/>
      <rgbColor rgb="FF99CC00"/>
      <rgbColor rgb="FFFFCC00"/>
      <rgbColor rgb="FFD4A017"/>
      <rgbColor rgb="FFFF6600"/>
      <rgbColor rgb="FF666666"/>
      <rgbColor rgb="FF969696"/>
      <rgbColor rgb="FF003366"/>
      <rgbColor rgb="FF2E7D32"/>
      <rgbColor rgb="FF0F1B2D"/>
      <rgbColor rgb="FF333300"/>
      <rgbColor rgb="FFC0392B"/>
      <rgbColor rgb="FF993366"/>
      <rgbColor rgb="FF555555"/>
      <rgbColor rgb="FF1A1A2E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sz="1800" spc="-1" strike="noStrike">
                <a:solidFill>
                  <a:srgbClr val="000000"/>
                </a:solidFill>
                <a:latin typeface="Calibri"/>
              </a:defRPr>
            </a:pPr>
            <a:r>
              <a:rPr b="1" sz="1800" spc="-1" strike="noStrike">
                <a:solidFill>
                  <a:srgbClr val="000000"/>
                </a:solidFill>
                <a:latin typeface="Calibri"/>
              </a:rPr>
              <a:t>Évolution des revenus annuels PHAAR sur 30 ans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ineChart>
        <c:grouping val="standard"/>
        <c:varyColors val="0"/>
        <c:ser>
          <c:idx val="0"/>
          <c:order val="0"/>
          <c:tx>
            <c:strRef>
              <c:f>Simulation!L5</c:f>
              <c:strCache>
                <c:ptCount val="1"/>
                <c:pt idx="0">
                  <c:v>TOTAL NET ANNÉE (€)</c:v>
                </c:pt>
              </c:strCache>
            </c:strRef>
          </c:tx>
          <c:spPr>
            <a:solidFill>
              <a:srgbClr val="4a7ebb"/>
            </a:solidFill>
            <a:ln w="28440">
              <a:solidFill>
                <a:srgbClr val="4a7ebb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Simulation!$B$6:$B$35</c:f>
              <c:strCache>
                <c:ptCount val="3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</c:strCache>
            </c:strRef>
          </c:cat>
          <c:val>
            <c:numRef>
              <c:f>Simulation!$L$6:$L$35</c:f>
              <c:numCache>
                <c:formatCode>#,##0" €"</c:formatCode>
                <c:ptCount val="30"/>
                <c:pt idx="0">
                  <c:v>5326.4</c:v>
                </c:pt>
                <c:pt idx="1">
                  <c:v>5102.8</c:v>
                </c:pt>
                <c:pt idx="2">
                  <c:v>5259.2</c:v>
                </c:pt>
                <c:pt idx="3">
                  <c:v>5395.6</c:v>
                </c:pt>
                <c:pt idx="4">
                  <c:v>5512</c:v>
                </c:pt>
                <c:pt idx="5">
                  <c:v>5540.8</c:v>
                </c:pt>
                <c:pt idx="6">
                  <c:v>5617.6</c:v>
                </c:pt>
                <c:pt idx="7">
                  <c:v>5694.4</c:v>
                </c:pt>
                <c:pt idx="8">
                  <c:v>5771.2</c:v>
                </c:pt>
                <c:pt idx="9">
                  <c:v>5848</c:v>
                </c:pt>
                <c:pt idx="10">
                  <c:v>5924.8</c:v>
                </c:pt>
                <c:pt idx="11">
                  <c:v>6001.6</c:v>
                </c:pt>
                <c:pt idx="12">
                  <c:v>6078.4</c:v>
                </c:pt>
                <c:pt idx="13">
                  <c:v>6155.2</c:v>
                </c:pt>
                <c:pt idx="14">
                  <c:v>6232</c:v>
                </c:pt>
                <c:pt idx="15">
                  <c:v>1352</c:v>
                </c:pt>
                <c:pt idx="16">
                  <c:v>1302</c:v>
                </c:pt>
                <c:pt idx="17">
                  <c:v>1232</c:v>
                </c:pt>
                <c:pt idx="18">
                  <c:v>1182</c:v>
                </c:pt>
                <c:pt idx="19">
                  <c:v>1152</c:v>
                </c:pt>
                <c:pt idx="20">
                  <c:v>1152</c:v>
                </c:pt>
                <c:pt idx="21">
                  <c:v>1152</c:v>
                </c:pt>
                <c:pt idx="22">
                  <c:v>1152</c:v>
                </c:pt>
                <c:pt idx="23">
                  <c:v>1152</c:v>
                </c:pt>
                <c:pt idx="24">
                  <c:v>1152</c:v>
                </c:pt>
                <c:pt idx="25">
                  <c:v>1152</c:v>
                </c:pt>
                <c:pt idx="26">
                  <c:v>1152</c:v>
                </c:pt>
                <c:pt idx="27">
                  <c:v>1152</c:v>
                </c:pt>
                <c:pt idx="28">
                  <c:v>1152</c:v>
                </c:pt>
                <c:pt idx="29">
                  <c:v>1152</c:v>
                </c:pt>
              </c:numCache>
            </c:numRef>
          </c:val>
          <c:smooth val="1"/>
        </c:ser>
        <c:hiLowLines>
          <c:spPr>
            <a:ln w="0">
              <a:noFill/>
            </a:ln>
          </c:spPr>
        </c:hiLowLines>
        <c:marker val="0"/>
        <c:axId val="13496249"/>
        <c:axId val="13350929"/>
      </c:lineChart>
      <c:catAx>
        <c:axId val="13496249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Année d'activité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13350929"/>
        <c:crosses val="autoZero"/>
        <c:auto val="1"/>
        <c:lblAlgn val="ctr"/>
        <c:lblOffset val="100"/>
        <c:noMultiLvlLbl val="0"/>
      </c:catAx>
      <c:valAx>
        <c:axId val="13350929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Revenus annuels (€)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#,##0&quot; €&quot;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13496249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19</xdr:row>
      <xdr:rowOff>0</xdr:rowOff>
    </xdr:from>
    <xdr:to>
      <xdr:col>9</xdr:col>
      <xdr:colOff>164520</xdr:colOff>
      <xdr:row>37</xdr:row>
      <xdr:rowOff>84600</xdr:rowOff>
    </xdr:to>
    <xdr:graphicFrame>
      <xdr:nvGraphicFramePr>
        <xdr:cNvPr id="0" name="Chart 1"/>
        <xdr:cNvGraphicFramePr/>
      </xdr:nvGraphicFramePr>
      <xdr:xfrm>
        <a:off x="0" y="5162400"/>
        <a:ext cx="7919640" cy="35996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24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"/>
    <col collapsed="false" customWidth="true" hidden="false" outlineLevel="0" max="8" min="2" style="0" width="16"/>
  </cols>
  <sheetData>
    <row r="1" customFormat="false" ht="15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</row>
    <row r="2" customFormat="false" ht="15" hidden="false" customHeight="false" outlineLevel="0" collapsed="false">
      <c r="A2" s="1"/>
      <c r="B2" s="1"/>
      <c r="C2" s="1"/>
      <c r="D2" s="1"/>
      <c r="E2" s="1"/>
      <c r="F2" s="1"/>
      <c r="G2" s="1"/>
      <c r="H2" s="1"/>
    </row>
    <row r="3" customFormat="false" ht="15" hidden="false" customHeight="false" outlineLevel="0" collapsed="false">
      <c r="A3" s="1"/>
      <c r="B3" s="1"/>
      <c r="C3" s="1"/>
      <c r="D3" s="1"/>
      <c r="E3" s="1"/>
      <c r="F3" s="1"/>
      <c r="G3" s="1"/>
      <c r="H3" s="1"/>
    </row>
    <row r="4" customFormat="false" ht="15" hidden="false" customHeight="false" outlineLevel="0" collapsed="false">
      <c r="A4" s="2" t="s">
        <v>1</v>
      </c>
      <c r="B4" s="2"/>
      <c r="C4" s="2"/>
      <c r="D4" s="2"/>
      <c r="E4" s="2"/>
      <c r="F4" s="2"/>
      <c r="G4" s="2"/>
      <c r="H4" s="2"/>
    </row>
    <row r="5" customFormat="false" ht="15" hidden="false" customHeight="false" outlineLevel="0" collapsed="false">
      <c r="A5" s="3" t="s">
        <v>2</v>
      </c>
      <c r="B5" s="3"/>
      <c r="C5" s="3"/>
      <c r="D5" s="3"/>
      <c r="E5" s="3"/>
      <c r="F5" s="3"/>
      <c r="G5" s="3"/>
      <c r="H5" s="3"/>
    </row>
    <row r="6" customFormat="false" ht="12" hidden="false" customHeight="true" outlineLevel="0" collapsed="false"/>
    <row r="7" customFormat="false" ht="24" hidden="false" customHeight="true" outlineLevel="0" collapsed="false">
      <c r="A7" s="4" t="s">
        <v>3</v>
      </c>
      <c r="B7" s="4"/>
      <c r="C7" s="4"/>
      <c r="D7" s="4"/>
      <c r="E7" s="4"/>
      <c r="F7" s="4"/>
      <c r="G7" s="4"/>
      <c r="H7" s="4"/>
    </row>
    <row r="9" customFormat="false" ht="25.5" hidden="false" customHeight="true" outlineLevel="0" collapsed="false">
      <c r="A9" s="5" t="s">
        <v>4</v>
      </c>
      <c r="B9" s="6" t="s">
        <v>5</v>
      </c>
      <c r="C9" s="6"/>
      <c r="D9" s="6"/>
      <c r="E9" s="7" t="s">
        <v>6</v>
      </c>
      <c r="F9" s="7"/>
      <c r="G9" s="7"/>
      <c r="H9" s="7"/>
    </row>
    <row r="10" customFormat="false" ht="25.5" hidden="false" customHeight="true" outlineLevel="0" collapsed="false">
      <c r="A10" s="5" t="s">
        <v>7</v>
      </c>
      <c r="B10" s="6" t="s">
        <v>8</v>
      </c>
      <c r="C10" s="6"/>
      <c r="D10" s="6"/>
      <c r="E10" s="7" t="s">
        <v>9</v>
      </c>
      <c r="F10" s="7"/>
      <c r="G10" s="7"/>
      <c r="H10" s="7"/>
    </row>
    <row r="11" customFormat="false" ht="25.5" hidden="false" customHeight="true" outlineLevel="0" collapsed="false">
      <c r="A11" s="5" t="s">
        <v>10</v>
      </c>
      <c r="B11" s="6" t="s">
        <v>11</v>
      </c>
      <c r="C11" s="6"/>
      <c r="D11" s="6"/>
      <c r="E11" s="7" t="s">
        <v>12</v>
      </c>
      <c r="F11" s="7"/>
      <c r="G11" s="7"/>
      <c r="H11" s="7"/>
    </row>
    <row r="12" customFormat="false" ht="25.5" hidden="false" customHeight="true" outlineLevel="0" collapsed="false">
      <c r="A12" s="5" t="s">
        <v>13</v>
      </c>
      <c r="B12" s="6" t="s">
        <v>14</v>
      </c>
      <c r="C12" s="6"/>
      <c r="D12" s="6"/>
      <c r="E12" s="7" t="s">
        <v>15</v>
      </c>
      <c r="F12" s="7"/>
      <c r="G12" s="7"/>
      <c r="H12" s="7"/>
    </row>
    <row r="13" customFormat="false" ht="25.5" hidden="false" customHeight="true" outlineLevel="0" collapsed="false">
      <c r="A13" s="5" t="s">
        <v>16</v>
      </c>
      <c r="B13" s="6" t="s">
        <v>17</v>
      </c>
      <c r="C13" s="6"/>
      <c r="D13" s="6"/>
      <c r="E13" s="7" t="s">
        <v>18</v>
      </c>
      <c r="F13" s="7"/>
      <c r="G13" s="7"/>
      <c r="H13" s="7"/>
    </row>
    <row r="14" customFormat="false" ht="9.75" hidden="false" customHeight="true" outlineLevel="0" collapsed="false"/>
    <row r="15" customFormat="false" ht="24" hidden="false" customHeight="true" outlineLevel="0" collapsed="false">
      <c r="A15" s="4" t="s">
        <v>19</v>
      </c>
      <c r="B15" s="4"/>
      <c r="C15" s="4"/>
      <c r="D15" s="4"/>
      <c r="E15" s="4"/>
      <c r="F15" s="4"/>
      <c r="G15" s="4"/>
      <c r="H15" s="4"/>
    </row>
    <row r="17" customFormat="false" ht="21.75" hidden="false" customHeight="true" outlineLevel="0" collapsed="false">
      <c r="A17" s="8"/>
      <c r="B17" s="8"/>
      <c r="C17" s="9" t="s">
        <v>20</v>
      </c>
      <c r="D17" s="9"/>
      <c r="E17" s="9"/>
      <c r="F17" s="9"/>
      <c r="G17" s="9"/>
      <c r="H17" s="9"/>
    </row>
    <row r="18" customFormat="false" ht="21.75" hidden="false" customHeight="true" outlineLevel="0" collapsed="false">
      <c r="A18" s="10"/>
      <c r="B18" s="10"/>
      <c r="C18" s="9" t="s">
        <v>21</v>
      </c>
      <c r="D18" s="9"/>
      <c r="E18" s="9"/>
      <c r="F18" s="9"/>
      <c r="G18" s="9"/>
      <c r="H18" s="9"/>
    </row>
    <row r="19" customFormat="false" ht="21.75" hidden="false" customHeight="true" outlineLevel="0" collapsed="false">
      <c r="A19" s="11"/>
      <c r="B19" s="11"/>
      <c r="C19" s="9" t="s">
        <v>22</v>
      </c>
      <c r="D19" s="9"/>
      <c r="E19" s="9"/>
      <c r="F19" s="9"/>
      <c r="G19" s="9"/>
      <c r="H19" s="9"/>
    </row>
    <row r="20" customFormat="false" ht="21.75" hidden="false" customHeight="true" outlineLevel="0" collapsed="false">
      <c r="A20" s="12"/>
      <c r="B20" s="12"/>
      <c r="C20" s="9" t="s">
        <v>23</v>
      </c>
      <c r="D20" s="9"/>
      <c r="E20" s="9"/>
      <c r="F20" s="9"/>
      <c r="G20" s="9"/>
      <c r="H20" s="9"/>
    </row>
    <row r="21" customFormat="false" ht="9.75" hidden="false" customHeight="true" outlineLevel="0" collapsed="false"/>
    <row r="22" customFormat="false" ht="30" hidden="false" customHeight="true" outlineLevel="0" collapsed="false">
      <c r="A22" s="13" t="s">
        <v>24</v>
      </c>
      <c r="B22" s="13"/>
      <c r="C22" s="13"/>
      <c r="D22" s="13"/>
      <c r="E22" s="13"/>
      <c r="F22" s="13"/>
      <c r="G22" s="13"/>
      <c r="H22" s="13"/>
    </row>
    <row r="24" customFormat="false" ht="25.5" hidden="false" customHeight="true" outlineLevel="0" collapsed="false">
      <c r="A24" s="14" t="s">
        <v>25</v>
      </c>
      <c r="B24" s="14"/>
      <c r="C24" s="14"/>
      <c r="D24" s="14"/>
      <c r="E24" s="14"/>
      <c r="F24" s="14"/>
      <c r="G24" s="14"/>
      <c r="H24" s="14"/>
    </row>
  </sheetData>
  <mergeCells count="25">
    <mergeCell ref="A1:H3"/>
    <mergeCell ref="A4:H4"/>
    <mergeCell ref="A5:H5"/>
    <mergeCell ref="A7:H7"/>
    <mergeCell ref="B9:D9"/>
    <mergeCell ref="E9:H9"/>
    <mergeCell ref="B10:D10"/>
    <mergeCell ref="E10:H10"/>
    <mergeCell ref="B11:D11"/>
    <mergeCell ref="E11:H11"/>
    <mergeCell ref="B12:D12"/>
    <mergeCell ref="E12:H12"/>
    <mergeCell ref="B13:D13"/>
    <mergeCell ref="E13:H13"/>
    <mergeCell ref="A15:H15"/>
    <mergeCell ref="A17:B17"/>
    <mergeCell ref="C17:H17"/>
    <mergeCell ref="A18:B18"/>
    <mergeCell ref="C18:H18"/>
    <mergeCell ref="A19:B19"/>
    <mergeCell ref="C19:H19"/>
    <mergeCell ref="A20:B20"/>
    <mergeCell ref="C20:H20"/>
    <mergeCell ref="A22:H22"/>
    <mergeCell ref="A24:H2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3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2"/>
    <col collapsed="false" customWidth="true" hidden="false" outlineLevel="0" max="2" min="2" style="0" width="14"/>
    <col collapsed="false" customWidth="true" hidden="false" outlineLevel="0" max="3" min="3" style="0" width="12"/>
    <col collapsed="false" customWidth="true" hidden="false" outlineLevel="0" max="5" min="4" style="0" width="25"/>
  </cols>
  <sheetData>
    <row r="1" customFormat="false" ht="15" hidden="false" customHeight="false" outlineLevel="0" collapsed="false">
      <c r="A1" s="15" t="s">
        <v>26</v>
      </c>
      <c r="B1" s="15"/>
      <c r="C1" s="15"/>
      <c r="D1" s="15"/>
      <c r="E1" s="15"/>
    </row>
    <row r="2" customFormat="false" ht="15" hidden="false" customHeight="false" outlineLevel="0" collapsed="false">
      <c r="A2" s="15"/>
      <c r="B2" s="15"/>
      <c r="C2" s="15"/>
      <c r="D2" s="15"/>
      <c r="E2" s="15"/>
    </row>
    <row r="3" customFormat="false" ht="21.75" hidden="false" customHeight="true" outlineLevel="0" collapsed="false">
      <c r="A3" s="16" t="s">
        <v>27</v>
      </c>
      <c r="B3" s="16"/>
      <c r="C3" s="16"/>
      <c r="D3" s="16"/>
      <c r="E3" s="16"/>
    </row>
    <row r="5" customFormat="false" ht="24" hidden="false" customHeight="true" outlineLevel="0" collapsed="false">
      <c r="A5" s="17" t="s">
        <v>28</v>
      </c>
      <c r="B5" s="17"/>
      <c r="C5" s="17"/>
      <c r="D5" s="17"/>
      <c r="E5" s="17"/>
    </row>
    <row r="6" customFormat="false" ht="21.75" hidden="false" customHeight="true" outlineLevel="0" collapsed="false">
      <c r="A6" s="18" t="s">
        <v>29</v>
      </c>
      <c r="B6" s="19" t="n">
        <v>4</v>
      </c>
      <c r="C6" s="20" t="s">
        <v>30</v>
      </c>
      <c r="D6" s="21" t="s">
        <v>31</v>
      </c>
      <c r="E6" s="21"/>
    </row>
    <row r="7" customFormat="false" ht="21.75" hidden="false" customHeight="true" outlineLevel="0" collapsed="false">
      <c r="A7" s="18" t="s">
        <v>32</v>
      </c>
      <c r="B7" s="22" t="n">
        <v>0</v>
      </c>
      <c r="C7" s="20" t="s">
        <v>33</v>
      </c>
      <c r="D7" s="21" t="s">
        <v>34</v>
      </c>
      <c r="E7" s="21"/>
    </row>
    <row r="8" customFormat="false" ht="21.75" hidden="false" customHeight="true" outlineLevel="0" collapsed="false">
      <c r="A8" s="18" t="s">
        <v>35</v>
      </c>
      <c r="B8" s="19" t="n">
        <v>15</v>
      </c>
      <c r="C8" s="20" t="s">
        <v>36</v>
      </c>
      <c r="D8" s="21" t="s">
        <v>37</v>
      </c>
      <c r="E8" s="21"/>
    </row>
    <row r="9" customFormat="false" ht="21.75" hidden="false" customHeight="true" outlineLevel="0" collapsed="false">
      <c r="A9" s="18" t="s">
        <v>38</v>
      </c>
      <c r="B9" s="19" t="n">
        <v>10</v>
      </c>
      <c r="C9" s="20" t="s">
        <v>36</v>
      </c>
      <c r="D9" s="21" t="s">
        <v>39</v>
      </c>
      <c r="E9" s="21"/>
    </row>
    <row r="11" customFormat="false" ht="24" hidden="false" customHeight="true" outlineLevel="0" collapsed="false">
      <c r="A11" s="17" t="s">
        <v>40</v>
      </c>
      <c r="B11" s="17"/>
      <c r="C11" s="17"/>
      <c r="D11" s="17"/>
      <c r="E11" s="17"/>
    </row>
    <row r="12" customFormat="false" ht="21.75" hidden="false" customHeight="true" outlineLevel="0" collapsed="false">
      <c r="A12" s="18" t="s">
        <v>41</v>
      </c>
      <c r="B12" s="23" t="n">
        <v>2500</v>
      </c>
      <c r="C12" s="20" t="s">
        <v>42</v>
      </c>
      <c r="D12" s="21" t="s">
        <v>43</v>
      </c>
      <c r="E12" s="21"/>
    </row>
    <row r="13" customFormat="false" ht="21.75" hidden="false" customHeight="true" outlineLevel="0" collapsed="false">
      <c r="A13" s="18" t="s">
        <v>44</v>
      </c>
      <c r="B13" s="23" t="n">
        <v>1000</v>
      </c>
      <c r="C13" s="20" t="s">
        <v>45</v>
      </c>
      <c r="D13" s="21" t="s">
        <v>46</v>
      </c>
      <c r="E13" s="21"/>
    </row>
    <row r="14" customFormat="false" ht="21.75" hidden="false" customHeight="true" outlineLevel="0" collapsed="false">
      <c r="A14" s="18" t="s">
        <v>47</v>
      </c>
      <c r="B14" s="23" t="n">
        <v>100</v>
      </c>
      <c r="C14" s="20" t="s">
        <v>45</v>
      </c>
      <c r="D14" s="21" t="s">
        <v>48</v>
      </c>
      <c r="E14" s="21"/>
    </row>
    <row r="16" customFormat="false" ht="24" hidden="false" customHeight="true" outlineLevel="0" collapsed="false">
      <c r="A16" s="17" t="s">
        <v>49</v>
      </c>
      <c r="B16" s="17"/>
      <c r="C16" s="17"/>
      <c r="D16" s="17"/>
      <c r="E16" s="17"/>
    </row>
    <row r="17" customFormat="false" ht="21.75" hidden="false" customHeight="true" outlineLevel="0" collapsed="false">
      <c r="A17" s="18" t="s">
        <v>50</v>
      </c>
      <c r="B17" s="22" t="n">
        <v>0.2</v>
      </c>
      <c r="C17" s="20" t="s">
        <v>51</v>
      </c>
      <c r="D17" s="21" t="s">
        <v>52</v>
      </c>
      <c r="E17" s="21"/>
    </row>
    <row r="18" customFormat="false" ht="21.75" hidden="false" customHeight="true" outlineLevel="0" collapsed="false">
      <c r="A18" s="18" t="s">
        <v>53</v>
      </c>
      <c r="B18" s="23" t="n">
        <v>250</v>
      </c>
      <c r="C18" s="20" t="s">
        <v>45</v>
      </c>
      <c r="D18" s="21" t="s">
        <v>54</v>
      </c>
      <c r="E18" s="21"/>
    </row>
    <row r="20" customFormat="false" ht="24" hidden="false" customHeight="true" outlineLevel="0" collapsed="false">
      <c r="A20" s="17" t="s">
        <v>55</v>
      </c>
      <c r="B20" s="17"/>
      <c r="C20" s="17"/>
      <c r="D20" s="17"/>
      <c r="E20" s="17"/>
    </row>
    <row r="21" customFormat="false" ht="21.75" hidden="false" customHeight="true" outlineLevel="0" collapsed="false">
      <c r="A21" s="18" t="s">
        <v>56</v>
      </c>
      <c r="B21" s="23" t="n">
        <v>20</v>
      </c>
      <c r="C21" s="20" t="s">
        <v>57</v>
      </c>
      <c r="D21" s="21" t="s">
        <v>58</v>
      </c>
      <c r="E21" s="21"/>
    </row>
    <row r="22" customFormat="false" ht="21.75" hidden="false" customHeight="true" outlineLevel="0" collapsed="false">
      <c r="A22" s="18" t="s">
        <v>59</v>
      </c>
      <c r="B22" s="23" t="n">
        <v>20</v>
      </c>
      <c r="C22" s="20" t="s">
        <v>57</v>
      </c>
      <c r="D22" s="21" t="s">
        <v>60</v>
      </c>
      <c r="E22" s="21"/>
    </row>
    <row r="23" customFormat="false" ht="21.75" hidden="false" customHeight="true" outlineLevel="0" collapsed="false">
      <c r="A23" s="18" t="s">
        <v>61</v>
      </c>
      <c r="B23" s="22" t="n">
        <v>0.9</v>
      </c>
      <c r="C23" s="20" t="s">
        <v>51</v>
      </c>
      <c r="D23" s="21" t="s">
        <v>62</v>
      </c>
      <c r="E23" s="21"/>
    </row>
    <row r="24" customFormat="false" ht="21.75" hidden="false" customHeight="true" outlineLevel="0" collapsed="false">
      <c r="A24" s="18" t="s">
        <v>63</v>
      </c>
      <c r="B24" s="22" t="n">
        <v>0.8</v>
      </c>
      <c r="C24" s="20" t="s">
        <v>51</v>
      </c>
      <c r="D24" s="21" t="s">
        <v>64</v>
      </c>
      <c r="E24" s="21"/>
    </row>
    <row r="25" customFormat="false" ht="21.75" hidden="false" customHeight="true" outlineLevel="0" collapsed="false">
      <c r="A25" s="18" t="s">
        <v>65</v>
      </c>
      <c r="B25" s="19" t="n">
        <v>20</v>
      </c>
      <c r="C25" s="20" t="s">
        <v>36</v>
      </c>
      <c r="D25" s="21" t="s">
        <v>66</v>
      </c>
      <c r="E25" s="21"/>
    </row>
    <row r="27" customFormat="false" ht="24" hidden="false" customHeight="true" outlineLevel="0" collapsed="false">
      <c r="A27" s="17" t="s">
        <v>67</v>
      </c>
      <c r="B27" s="17"/>
      <c r="C27" s="17"/>
      <c r="D27" s="17"/>
      <c r="E27" s="17"/>
    </row>
    <row r="28" customFormat="false" ht="21.75" hidden="false" customHeight="true" outlineLevel="0" collapsed="false">
      <c r="A28" s="18" t="s">
        <v>68</v>
      </c>
      <c r="B28" s="23" t="n">
        <v>360</v>
      </c>
      <c r="C28" s="20" t="s">
        <v>69</v>
      </c>
      <c r="D28" s="21" t="s">
        <v>70</v>
      </c>
      <c r="E28" s="21"/>
    </row>
    <row r="29" customFormat="false" ht="21.75" hidden="false" customHeight="true" outlineLevel="0" collapsed="false">
      <c r="A29" s="18" t="s">
        <v>71</v>
      </c>
      <c r="B29" s="23" t="n">
        <v>720</v>
      </c>
      <c r="C29" s="20" t="s">
        <v>57</v>
      </c>
      <c r="D29" s="21" t="s">
        <v>72</v>
      </c>
      <c r="E29" s="21"/>
    </row>
    <row r="30" customFormat="false" ht="21.75" hidden="false" customHeight="true" outlineLevel="0" collapsed="false">
      <c r="A30" s="18" t="s">
        <v>73</v>
      </c>
      <c r="B30" s="23" t="n">
        <v>360</v>
      </c>
      <c r="C30" s="20" t="s">
        <v>57</v>
      </c>
      <c r="D30" s="21" t="s">
        <v>74</v>
      </c>
      <c r="E30" s="21"/>
    </row>
    <row r="31" customFormat="false" ht="21.75" hidden="false" customHeight="true" outlineLevel="0" collapsed="false">
      <c r="A31" s="18" t="s">
        <v>75</v>
      </c>
      <c r="B31" s="23" t="n">
        <v>360</v>
      </c>
      <c r="C31" s="20" t="s">
        <v>57</v>
      </c>
      <c r="D31" s="21" t="s">
        <v>76</v>
      </c>
      <c r="E31" s="21"/>
    </row>
    <row r="33" customFormat="false" ht="36" hidden="false" customHeight="true" outlineLevel="0" collapsed="false">
      <c r="A33" s="24" t="s">
        <v>77</v>
      </c>
      <c r="B33" s="24"/>
      <c r="C33" s="24"/>
      <c r="D33" s="24"/>
      <c r="E33" s="24"/>
    </row>
    <row r="35" customFormat="false" ht="31.5" hidden="false" customHeight="true" outlineLevel="0" collapsed="false">
      <c r="A35" s="13" t="s">
        <v>78</v>
      </c>
      <c r="B35" s="13"/>
      <c r="C35" s="13"/>
      <c r="D35" s="13"/>
      <c r="E35" s="13"/>
    </row>
  </sheetData>
  <mergeCells count="27">
    <mergeCell ref="A1:E2"/>
    <mergeCell ref="A3:E3"/>
    <mergeCell ref="A5:E5"/>
    <mergeCell ref="D6:E6"/>
    <mergeCell ref="D7:E7"/>
    <mergeCell ref="D8:E8"/>
    <mergeCell ref="D9:E9"/>
    <mergeCell ref="A11:E11"/>
    <mergeCell ref="D12:E12"/>
    <mergeCell ref="D13:E13"/>
    <mergeCell ref="D14:E14"/>
    <mergeCell ref="A16:E16"/>
    <mergeCell ref="D17:E17"/>
    <mergeCell ref="D18:E18"/>
    <mergeCell ref="A20:E20"/>
    <mergeCell ref="D21:E21"/>
    <mergeCell ref="D22:E22"/>
    <mergeCell ref="D23:E23"/>
    <mergeCell ref="D24:E24"/>
    <mergeCell ref="D25:E25"/>
    <mergeCell ref="A27:E27"/>
    <mergeCell ref="D28:E28"/>
    <mergeCell ref="D29:E29"/>
    <mergeCell ref="D30:E30"/>
    <mergeCell ref="D31:E31"/>
    <mergeCell ref="A33:E33"/>
    <mergeCell ref="A35:E3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4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2"/>
    <col collapsed="false" customWidth="true" hidden="false" outlineLevel="0" max="3" min="2" style="0" width="16"/>
    <col collapsed="false" customWidth="true" hidden="false" outlineLevel="0" max="4" min="4" style="0" width="12"/>
    <col collapsed="false" customWidth="true" hidden="false" outlineLevel="0" max="5" min="5" style="0" width="14"/>
  </cols>
  <sheetData>
    <row r="1" customFormat="false" ht="15" hidden="false" customHeight="false" outlineLevel="0" collapsed="false">
      <c r="A1" s="15" t="s">
        <v>79</v>
      </c>
      <c r="B1" s="15"/>
      <c r="C1" s="15"/>
      <c r="D1" s="15"/>
      <c r="E1" s="15"/>
    </row>
    <row r="2" customFormat="false" ht="15" hidden="false" customHeight="false" outlineLevel="0" collapsed="false">
      <c r="A2" s="15"/>
      <c r="B2" s="15"/>
      <c r="C2" s="15"/>
      <c r="D2" s="15"/>
      <c r="E2" s="15"/>
    </row>
    <row r="3" customFormat="false" ht="21.75" hidden="false" customHeight="true" outlineLevel="0" collapsed="false">
      <c r="A3" s="16" t="s">
        <v>80</v>
      </c>
      <c r="B3" s="16"/>
      <c r="C3" s="16"/>
      <c r="D3" s="16"/>
      <c r="E3" s="16"/>
    </row>
    <row r="5" customFormat="false" ht="24" hidden="false" customHeight="true" outlineLevel="0" collapsed="false">
      <c r="A5" s="17" t="s">
        <v>81</v>
      </c>
      <c r="B5" s="17"/>
      <c r="C5" s="17"/>
      <c r="D5" s="17"/>
      <c r="E5" s="17"/>
    </row>
    <row r="6" customFormat="false" ht="25.5" hidden="false" customHeight="true" outlineLevel="0" collapsed="false">
      <c r="A6" s="25" t="s">
        <v>82</v>
      </c>
      <c r="B6" s="25"/>
      <c r="C6" s="25" t="s">
        <v>83</v>
      </c>
      <c r="D6" s="25" t="s">
        <v>84</v>
      </c>
      <c r="E6" s="25"/>
    </row>
    <row r="7" customFormat="false" ht="24" hidden="false" customHeight="true" outlineLevel="0" collapsed="false">
      <c r="A7" s="26" t="s">
        <v>85</v>
      </c>
      <c r="B7" s="26"/>
      <c r="C7" s="27" t="n">
        <v>25</v>
      </c>
      <c r="D7" s="28" t="n">
        <f aca="false">C7/C10</f>
        <v>0.116279069767442</v>
      </c>
      <c r="E7" s="28"/>
    </row>
    <row r="8" customFormat="false" ht="24" hidden="false" customHeight="true" outlineLevel="0" collapsed="false">
      <c r="A8" s="26" t="s">
        <v>86</v>
      </c>
      <c r="B8" s="26"/>
      <c r="C8" s="27" t="n">
        <v>130</v>
      </c>
      <c r="D8" s="28" t="n">
        <f aca="false">C8/C10</f>
        <v>0.604651162790698</v>
      </c>
      <c r="E8" s="28"/>
    </row>
    <row r="9" customFormat="false" ht="24" hidden="false" customHeight="true" outlineLevel="0" collapsed="false">
      <c r="A9" s="26" t="s">
        <v>87</v>
      </c>
      <c r="B9" s="26"/>
      <c r="C9" s="27" t="n">
        <v>60</v>
      </c>
      <c r="D9" s="28" t="n">
        <f aca="false">C9/C10</f>
        <v>0.27906976744186</v>
      </c>
      <c r="E9" s="28"/>
    </row>
    <row r="10" customFormat="false" ht="31.5" hidden="false" customHeight="true" outlineLevel="0" collapsed="false">
      <c r="A10" s="29" t="s">
        <v>88</v>
      </c>
      <c r="B10" s="29"/>
      <c r="C10" s="30" t="n">
        <f aca="false">SUM(C7:C9)</f>
        <v>215</v>
      </c>
      <c r="D10" s="29" t="s">
        <v>89</v>
      </c>
      <c r="E10" s="29"/>
    </row>
    <row r="12" customFormat="false" ht="24" hidden="false" customHeight="true" outlineLevel="0" collapsed="false">
      <c r="A12" s="17" t="s">
        <v>90</v>
      </c>
      <c r="B12" s="17"/>
      <c r="C12" s="17"/>
      <c r="D12" s="17"/>
      <c r="E12" s="17"/>
    </row>
    <row r="13" customFormat="false" ht="25.5" hidden="false" customHeight="true" outlineLevel="0" collapsed="false">
      <c r="A13" s="31" t="s">
        <v>91</v>
      </c>
      <c r="B13" s="31"/>
      <c r="C13" s="25" t="s">
        <v>92</v>
      </c>
      <c r="D13" s="25"/>
      <c r="E13" s="25"/>
    </row>
    <row r="14" customFormat="false" ht="25.5" hidden="false" customHeight="true" outlineLevel="0" collapsed="false">
      <c r="A14" s="32" t="s">
        <v>93</v>
      </c>
      <c r="B14" s="32"/>
      <c r="C14" s="33" t="n">
        <f aca="false">C10</f>
        <v>215</v>
      </c>
      <c r="D14" s="33"/>
      <c r="E14" s="33"/>
    </row>
    <row r="15" customFormat="false" ht="25.5" hidden="false" customHeight="true" outlineLevel="0" collapsed="false">
      <c r="A15" s="32" t="s">
        <v>94</v>
      </c>
      <c r="B15" s="32"/>
      <c r="C15" s="34" t="n">
        <v>20</v>
      </c>
      <c r="D15" s="34"/>
      <c r="E15" s="34"/>
    </row>
    <row r="16" customFormat="false" ht="25.5" hidden="false" customHeight="true" outlineLevel="0" collapsed="false">
      <c r="A16" s="32" t="s">
        <v>95</v>
      </c>
      <c r="B16" s="32"/>
      <c r="C16" s="28" t="n">
        <f aca="false">C15/C14</f>
        <v>0.0930232558139535</v>
      </c>
      <c r="D16" s="28"/>
      <c r="E16" s="28"/>
    </row>
    <row r="17" customFormat="false" ht="25.5" hidden="false" customHeight="true" outlineLevel="0" collapsed="false">
      <c r="A17" s="32" t="s">
        <v>96</v>
      </c>
      <c r="B17" s="32"/>
      <c r="C17" s="33" t="n">
        <f aca="false">C14-C15</f>
        <v>195</v>
      </c>
      <c r="D17" s="33"/>
      <c r="E17" s="33"/>
    </row>
    <row r="19" customFormat="false" ht="24" hidden="false" customHeight="true" outlineLevel="0" collapsed="false">
      <c r="A19" s="17" t="s">
        <v>97</v>
      </c>
      <c r="B19" s="17"/>
      <c r="C19" s="17"/>
      <c r="D19" s="17"/>
      <c r="E19" s="17"/>
    </row>
    <row r="20" customFormat="false" ht="31.5" hidden="false" customHeight="true" outlineLevel="0" collapsed="false">
      <c r="A20" s="35" t="s">
        <v>98</v>
      </c>
      <c r="B20" s="35"/>
      <c r="C20" s="35"/>
      <c r="D20" s="35"/>
      <c r="E20" s="35"/>
    </row>
    <row r="22" customFormat="false" ht="25.5" hidden="false" customHeight="true" outlineLevel="0" collapsed="false">
      <c r="A22" s="36" t="s">
        <v>99</v>
      </c>
      <c r="B22" s="36" t="s">
        <v>100</v>
      </c>
      <c r="C22" s="36"/>
      <c r="D22" s="36" t="s">
        <v>101</v>
      </c>
      <c r="E22" s="36"/>
    </row>
    <row r="23" customFormat="false" ht="21.75" hidden="false" customHeight="true" outlineLevel="0" collapsed="false">
      <c r="A23" s="37" t="n">
        <v>10</v>
      </c>
      <c r="B23" s="38" t="n">
        <f aca="false">A23*20</f>
        <v>200</v>
      </c>
      <c r="C23" s="38"/>
      <c r="D23" s="39" t="n">
        <f aca="false">B23*10</f>
        <v>2000</v>
      </c>
      <c r="E23" s="39"/>
    </row>
    <row r="24" customFormat="false" ht="21.75" hidden="false" customHeight="true" outlineLevel="0" collapsed="false">
      <c r="A24" s="37" t="n">
        <v>50</v>
      </c>
      <c r="B24" s="38" t="n">
        <f aca="false">A24*20</f>
        <v>1000</v>
      </c>
      <c r="C24" s="38"/>
      <c r="D24" s="39" t="n">
        <f aca="false">B24*10</f>
        <v>10000</v>
      </c>
      <c r="E24" s="39"/>
    </row>
    <row r="25" customFormat="false" ht="21.75" hidden="false" customHeight="true" outlineLevel="0" collapsed="false">
      <c r="A25" s="37" t="n">
        <v>100</v>
      </c>
      <c r="B25" s="38" t="n">
        <f aca="false">A25*20</f>
        <v>2000</v>
      </c>
      <c r="C25" s="38"/>
      <c r="D25" s="39" t="n">
        <f aca="false">B25*10</f>
        <v>20000</v>
      </c>
      <c r="E25" s="39"/>
    </row>
    <row r="26" customFormat="false" ht="21.75" hidden="false" customHeight="true" outlineLevel="0" collapsed="false">
      <c r="A26" s="37" t="n">
        <v>200</v>
      </c>
      <c r="B26" s="38" t="n">
        <f aca="false">A26*20</f>
        <v>4000</v>
      </c>
      <c r="C26" s="38"/>
      <c r="D26" s="39" t="n">
        <f aca="false">B26*10</f>
        <v>40000</v>
      </c>
      <c r="E26" s="39"/>
    </row>
    <row r="27" customFormat="false" ht="21.75" hidden="false" customHeight="true" outlineLevel="0" collapsed="false">
      <c r="A27" s="37" t="n">
        <v>300</v>
      </c>
      <c r="B27" s="38" t="n">
        <f aca="false">A27*20</f>
        <v>6000</v>
      </c>
      <c r="C27" s="38"/>
      <c r="D27" s="39" t="n">
        <f aca="false">B27*10</f>
        <v>60000</v>
      </c>
      <c r="E27" s="39"/>
    </row>
    <row r="28" customFormat="false" ht="21.75" hidden="false" customHeight="true" outlineLevel="0" collapsed="false">
      <c r="A28" s="37" t="n">
        <v>500</v>
      </c>
      <c r="B28" s="38" t="n">
        <f aca="false">A28*20</f>
        <v>10000</v>
      </c>
      <c r="C28" s="38"/>
      <c r="D28" s="39" t="n">
        <f aca="false">B28*10</f>
        <v>100000</v>
      </c>
      <c r="E28" s="39"/>
    </row>
    <row r="30" customFormat="false" ht="31.5" hidden="false" customHeight="true" outlineLevel="0" collapsed="false">
      <c r="A30" s="40" t="s">
        <v>102</v>
      </c>
      <c r="B30" s="40"/>
      <c r="C30" s="40"/>
      <c r="D30" s="40"/>
      <c r="E30" s="40"/>
    </row>
    <row r="32" customFormat="false" ht="24" hidden="false" customHeight="true" outlineLevel="0" collapsed="false">
      <c r="A32" s="17" t="s">
        <v>103</v>
      </c>
      <c r="B32" s="17"/>
      <c r="C32" s="17"/>
      <c r="D32" s="17"/>
      <c r="E32" s="17"/>
    </row>
    <row r="33" customFormat="false" ht="36" hidden="false" customHeight="true" outlineLevel="0" collapsed="false">
      <c r="A33" s="41" t="s">
        <v>104</v>
      </c>
      <c r="B33" s="41"/>
      <c r="C33" s="41"/>
      <c r="D33" s="41"/>
      <c r="E33" s="41"/>
    </row>
    <row r="35" customFormat="false" ht="25.5" hidden="false" customHeight="true" outlineLevel="0" collapsed="false">
      <c r="A35" s="25" t="s">
        <v>105</v>
      </c>
      <c r="B35" s="25" t="s">
        <v>106</v>
      </c>
      <c r="C35" s="25"/>
      <c r="D35" s="25" t="s">
        <v>107</v>
      </c>
      <c r="E35" s="25"/>
    </row>
    <row r="36" customFormat="false" ht="25.5" hidden="false" customHeight="true" outlineLevel="0" collapsed="false">
      <c r="A36" s="42" t="s">
        <v>108</v>
      </c>
      <c r="B36" s="43" t="n">
        <v>215</v>
      </c>
      <c r="C36" s="43"/>
      <c r="D36" s="44" t="n">
        <v>20</v>
      </c>
      <c r="E36" s="44"/>
    </row>
    <row r="37" customFormat="false" ht="31.5" hidden="false" customHeight="true" outlineLevel="0" collapsed="false">
      <c r="A37" s="45" t="s">
        <v>109</v>
      </c>
      <c r="B37" s="30" t="n">
        <f aca="false">215+200</f>
        <v>415</v>
      </c>
      <c r="C37" s="30"/>
      <c r="D37" s="34" t="n">
        <f aca="false">20+20</f>
        <v>40</v>
      </c>
      <c r="E37" s="34"/>
    </row>
    <row r="39" customFormat="false" ht="37.5" hidden="false" customHeight="true" outlineLevel="0" collapsed="false">
      <c r="A39" s="46" t="s">
        <v>110</v>
      </c>
      <c r="B39" s="46"/>
      <c r="C39" s="46"/>
      <c r="D39" s="46"/>
      <c r="E39" s="46"/>
    </row>
    <row r="41" customFormat="false" ht="24" hidden="false" customHeight="true" outlineLevel="0" collapsed="false">
      <c r="A41" s="17" t="s">
        <v>111</v>
      </c>
      <c r="B41" s="17"/>
      <c r="C41" s="17"/>
      <c r="D41" s="17"/>
      <c r="E41" s="17"/>
    </row>
    <row r="42" customFormat="false" ht="27.75" hidden="false" customHeight="true" outlineLevel="0" collapsed="false">
      <c r="A42" s="31" t="s">
        <v>91</v>
      </c>
      <c r="B42" s="31"/>
      <c r="C42" s="31"/>
      <c r="D42" s="25" t="s">
        <v>92</v>
      </c>
      <c r="E42" s="25"/>
    </row>
    <row r="43" customFormat="false" ht="27.75" hidden="false" customHeight="true" outlineLevel="0" collapsed="false">
      <c r="A43" s="47" t="s">
        <v>112</v>
      </c>
      <c r="B43" s="47"/>
      <c r="C43" s="47"/>
      <c r="D43" s="48" t="n">
        <v>250</v>
      </c>
      <c r="E43" s="48"/>
    </row>
    <row r="44" customFormat="false" ht="27.75" hidden="false" customHeight="true" outlineLevel="0" collapsed="false">
      <c r="A44" s="47" t="s">
        <v>113</v>
      </c>
      <c r="B44" s="47"/>
      <c r="C44" s="47"/>
      <c r="D44" s="49" t="s">
        <v>114</v>
      </c>
      <c r="E44" s="49"/>
    </row>
    <row r="46" customFormat="false" ht="37.5" hidden="false" customHeight="true" outlineLevel="0" collapsed="false">
      <c r="A46" s="50" t="s">
        <v>115</v>
      </c>
      <c r="B46" s="50"/>
      <c r="C46" s="50"/>
      <c r="D46" s="50"/>
      <c r="E46" s="50"/>
    </row>
  </sheetData>
  <mergeCells count="58">
    <mergeCell ref="A1:E2"/>
    <mergeCell ref="A3:E3"/>
    <mergeCell ref="A5:E5"/>
    <mergeCell ref="A6:B6"/>
    <mergeCell ref="D6:E6"/>
    <mergeCell ref="A7:B7"/>
    <mergeCell ref="D7:E7"/>
    <mergeCell ref="A8:B8"/>
    <mergeCell ref="D8:E8"/>
    <mergeCell ref="A9:B9"/>
    <mergeCell ref="D9:E9"/>
    <mergeCell ref="A10:B10"/>
    <mergeCell ref="D10:E10"/>
    <mergeCell ref="A12:E12"/>
    <mergeCell ref="A13:B13"/>
    <mergeCell ref="C13:E13"/>
    <mergeCell ref="A14:B14"/>
    <mergeCell ref="C14:E14"/>
    <mergeCell ref="A15:B15"/>
    <mergeCell ref="C15:E15"/>
    <mergeCell ref="A16:B16"/>
    <mergeCell ref="C16:E16"/>
    <mergeCell ref="A17:B17"/>
    <mergeCell ref="C17:E17"/>
    <mergeCell ref="A19:E19"/>
    <mergeCell ref="A20:E20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A30:E30"/>
    <mergeCell ref="A32:E32"/>
    <mergeCell ref="A33:E33"/>
    <mergeCell ref="B35:C35"/>
    <mergeCell ref="D35:E35"/>
    <mergeCell ref="B36:C36"/>
    <mergeCell ref="D36:E36"/>
    <mergeCell ref="B37:C37"/>
    <mergeCell ref="D37:E37"/>
    <mergeCell ref="A39:E39"/>
    <mergeCell ref="A41:E41"/>
    <mergeCell ref="A42:C42"/>
    <mergeCell ref="D42:E42"/>
    <mergeCell ref="A43:C43"/>
    <mergeCell ref="D43:E43"/>
    <mergeCell ref="A44:C44"/>
    <mergeCell ref="D44:E44"/>
    <mergeCell ref="A46:E46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3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5" topLeftCell="A6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0"/>
    <col collapsed="false" customWidth="true" hidden="false" outlineLevel="0" max="2" min="2" style="0" width="5"/>
    <col collapsed="false" customWidth="true" hidden="false" outlineLevel="0" max="5" min="3" style="0" width="11"/>
    <col collapsed="false" customWidth="true" hidden="false" outlineLevel="0" max="7" min="6" style="0" width="13"/>
    <col collapsed="false" customWidth="true" hidden="false" outlineLevel="0" max="8" min="8" style="0" width="12"/>
    <col collapsed="false" customWidth="true" hidden="false" outlineLevel="0" max="9" min="9" style="0" width="13"/>
    <col collapsed="false" customWidth="true" hidden="false" outlineLevel="0" max="11" min="10" style="0" width="12"/>
    <col collapsed="false" customWidth="true" hidden="false" outlineLevel="0" max="13" min="12" style="0" width="16"/>
  </cols>
  <sheetData>
    <row r="1" customFormat="false" ht="15" hidden="false" customHeight="false" outlineLevel="0" collapsed="false">
      <c r="A1" s="15" t="s">
        <v>116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customFormat="false" ht="15" hidden="false" customHeight="false" outlineLevel="0" collapsed="false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</row>
    <row r="3" customFormat="false" ht="21.75" hidden="false" customHeight="true" outlineLevel="0" collapsed="false">
      <c r="A3" s="16" t="s">
        <v>117</v>
      </c>
      <c r="B3" s="16"/>
      <c r="C3" s="16"/>
      <c r="D3" s="16"/>
      <c r="E3" s="16"/>
      <c r="F3" s="16"/>
      <c r="G3" s="16"/>
      <c r="H3" s="16"/>
      <c r="I3" s="16"/>
      <c r="J3" s="16"/>
      <c r="K3" s="16"/>
    </row>
    <row r="5" customFormat="false" ht="36" hidden="false" customHeight="true" outlineLevel="0" collapsed="false">
      <c r="A5" s="51" t="s">
        <v>118</v>
      </c>
      <c r="B5" s="51" t="s">
        <v>119</v>
      </c>
      <c r="C5" s="51" t="s">
        <v>120</v>
      </c>
      <c r="D5" s="51" t="s">
        <v>121</v>
      </c>
      <c r="E5" s="51" t="s">
        <v>122</v>
      </c>
      <c r="F5" s="51" t="s">
        <v>123</v>
      </c>
      <c r="G5" s="51" t="s">
        <v>124</v>
      </c>
      <c r="H5" s="51" t="s">
        <v>125</v>
      </c>
      <c r="I5" s="51" t="s">
        <v>126</v>
      </c>
      <c r="J5" s="51" t="s">
        <v>127</v>
      </c>
      <c r="K5" s="51" t="s">
        <v>128</v>
      </c>
      <c r="L5" s="51" t="s">
        <v>129</v>
      </c>
      <c r="M5" s="51" t="s">
        <v>130</v>
      </c>
    </row>
    <row r="6" customFormat="false" ht="18" hidden="false" customHeight="true" outlineLevel="0" collapsed="false">
      <c r="A6" s="52" t="n">
        <f aca="false">2024+1</f>
        <v>2025</v>
      </c>
      <c r="B6" s="53" t="n">
        <v>1</v>
      </c>
      <c r="C6" s="53" t="str">
        <f aca="false">IF(B6&lt;=Hypothèses!$B$8,"Activité",IF(B6&lt;=Hypothèses!$B$8+Hypothèses!$B$9,"Post-retraite","Fin"))</f>
        <v>Activité</v>
      </c>
      <c r="D6" s="52" t="n">
        <f aca="false">IF(C6="Activité",Hypothèses!$B$6*(1+Hypothèses!$B$7)^(B6-1),0)</f>
        <v>4</v>
      </c>
      <c r="E6" s="54" t="n">
        <f aca="false">D6</f>
        <v>4</v>
      </c>
      <c r="F6" s="55" t="n">
        <f aca="false">D6*(Hypothèses!$B$12-Hypothèses!$B$13-Hypothèses!$B$14)</f>
        <v>5600</v>
      </c>
      <c r="G6" s="55" t="n">
        <v>0</v>
      </c>
      <c r="H6" s="55" t="n">
        <f aca="false">MIN(E6,Hypothèses!$B$6*Hypothèses!$B$25)*IF(B6&lt;=5,Hypothèses!$B$23,Hypothèses!$B$24)*Hypothèses!$B$21</f>
        <v>72</v>
      </c>
      <c r="I6" s="55" t="n">
        <f aca="false">MIN(E6,Hypothèses!$B$6*Hypothèses!$B$25)*Hypothèses!$B$17*IF(B6&lt;=5,Hypothèses!$B$23,Hypothèses!$B$24)*Hypothèses!$B$22</f>
        <v>14.4</v>
      </c>
      <c r="J6" s="55" t="n">
        <v>0</v>
      </c>
      <c r="K6" s="56" t="n">
        <f aca="false">IF(C6="Activité",IF(B6=1,Hypothèses!$B$28,Hypothèses!$B$29),0)</f>
        <v>360</v>
      </c>
      <c r="L6" s="57" t="n">
        <f aca="false">F6+G6+H6+I6+J6-K6</f>
        <v>5326.4</v>
      </c>
      <c r="M6" s="58" t="n">
        <f aca="false">L6</f>
        <v>5326.4</v>
      </c>
    </row>
    <row r="7" customFormat="false" ht="18" hidden="false" customHeight="true" outlineLevel="0" collapsed="false">
      <c r="A7" s="59" t="n">
        <f aca="false">2024+2</f>
        <v>2026</v>
      </c>
      <c r="B7" s="60" t="n">
        <v>2</v>
      </c>
      <c r="C7" s="60" t="str">
        <f aca="false">IF(B7&lt;=Hypothèses!$B$8,"Activité",IF(B7&lt;=Hypothèses!$B$8+Hypothèses!$B$9,"Post-retraite","Fin"))</f>
        <v>Activité</v>
      </c>
      <c r="D7" s="59" t="n">
        <f aca="false">IF(C7="Activité",Hypothèses!$B$6*(1+Hypothèses!$B$7)^(B7-1),0)</f>
        <v>4</v>
      </c>
      <c r="E7" s="61" t="n">
        <f aca="false">E6+D7</f>
        <v>8</v>
      </c>
      <c r="F7" s="62" t="n">
        <f aca="false">D7*(Hypothèses!$B$12-Hypothèses!$B$13-Hypothèses!$B$14)</f>
        <v>5600</v>
      </c>
      <c r="G7" s="62" t="n">
        <f aca="false">D6*0.05*Hypothèses!$B$18</f>
        <v>50</v>
      </c>
      <c r="H7" s="62" t="n">
        <f aca="false">MIN(E7,Hypothèses!$B$6*Hypothèses!$B$25)*IF(B7&lt;=5,Hypothèses!$B$23,Hypothèses!$B$24)*Hypothèses!$B$21</f>
        <v>144</v>
      </c>
      <c r="I7" s="62" t="n">
        <f aca="false">MIN(E7,Hypothèses!$B$6*Hypothèses!$B$25)*Hypothèses!$B$17*IF(B7&lt;=5,Hypothèses!$B$23,Hypothèses!$B$24)*Hypothèses!$B$22</f>
        <v>28.8</v>
      </c>
      <c r="J7" s="62" t="n">
        <v>0</v>
      </c>
      <c r="K7" s="63" t="n">
        <f aca="false">IF(C7="Activité",IF(B7=1,Hypothèses!$B$28,Hypothèses!$B$29),0)</f>
        <v>720</v>
      </c>
      <c r="L7" s="64" t="n">
        <f aca="false">F7+G7+H7+I7+J7-K7</f>
        <v>5102.8</v>
      </c>
      <c r="M7" s="65" t="n">
        <f aca="false">M6+L7</f>
        <v>10429.2</v>
      </c>
    </row>
    <row r="8" customFormat="false" ht="18" hidden="false" customHeight="true" outlineLevel="0" collapsed="false">
      <c r="A8" s="52" t="n">
        <f aca="false">2024+3</f>
        <v>2027</v>
      </c>
      <c r="B8" s="53" t="n">
        <v>3</v>
      </c>
      <c r="C8" s="53" t="str">
        <f aca="false">IF(B8&lt;=Hypothèses!$B$8,"Activité",IF(B8&lt;=Hypothèses!$B$8+Hypothèses!$B$9,"Post-retraite","Fin"))</f>
        <v>Activité</v>
      </c>
      <c r="D8" s="52" t="n">
        <f aca="false">IF(C8="Activité",Hypothèses!$B$6*(1+Hypothèses!$B$7)^(B8-1),0)</f>
        <v>4</v>
      </c>
      <c r="E8" s="54" t="n">
        <f aca="false">E7+D8</f>
        <v>12</v>
      </c>
      <c r="F8" s="55" t="n">
        <f aca="false">D8*(Hypothèses!$B$12-Hypothèses!$B$13-Hypothèses!$B$14)</f>
        <v>5600</v>
      </c>
      <c r="G8" s="55" t="n">
        <f aca="false">(D7*0.05+D6*0.07)*Hypothèses!$B$18</f>
        <v>120</v>
      </c>
      <c r="H8" s="55" t="n">
        <f aca="false">MIN(E8,Hypothèses!$B$6*Hypothèses!$B$25)*IF(B8&lt;=5,Hypothèses!$B$23,Hypothèses!$B$24)*Hypothèses!$B$21</f>
        <v>216</v>
      </c>
      <c r="I8" s="55" t="n">
        <f aca="false">MIN(E8,Hypothèses!$B$6*Hypothèses!$B$25)*Hypothèses!$B$17*IF(B8&lt;=5,Hypothèses!$B$23,Hypothèses!$B$24)*Hypothèses!$B$22</f>
        <v>43.2</v>
      </c>
      <c r="J8" s="55" t="n">
        <v>0</v>
      </c>
      <c r="K8" s="56" t="n">
        <f aca="false">IF(C8="Activité",IF(B8=1,Hypothèses!$B$28,Hypothèses!$B$29),0)</f>
        <v>720</v>
      </c>
      <c r="L8" s="57" t="n">
        <f aca="false">F8+G8+H8+I8+J8-K8</f>
        <v>5259.2</v>
      </c>
      <c r="M8" s="58" t="n">
        <f aca="false">M7+L8</f>
        <v>15688.4</v>
      </c>
    </row>
    <row r="9" customFormat="false" ht="18" hidden="false" customHeight="true" outlineLevel="0" collapsed="false">
      <c r="A9" s="59" t="n">
        <f aca="false">2024+4</f>
        <v>2028</v>
      </c>
      <c r="B9" s="60" t="n">
        <v>4</v>
      </c>
      <c r="C9" s="60" t="str">
        <f aca="false">IF(B9&lt;=Hypothèses!$B$8,"Activité",IF(B9&lt;=Hypothèses!$B$8+Hypothèses!$B$9,"Post-retraite","Fin"))</f>
        <v>Activité</v>
      </c>
      <c r="D9" s="59" t="n">
        <f aca="false">IF(C9="Activité",Hypothèses!$B$6*(1+Hypothèses!$B$7)^(B9-1),0)</f>
        <v>4</v>
      </c>
      <c r="E9" s="61" t="n">
        <f aca="false">E8+D9</f>
        <v>16</v>
      </c>
      <c r="F9" s="62" t="n">
        <f aca="false">D9*(Hypothèses!$B$12-Hypothèses!$B$13-Hypothèses!$B$14)</f>
        <v>5600</v>
      </c>
      <c r="G9" s="62" t="n">
        <f aca="false">(D8*0.05+D7*0.07+D6*0.05)*Hypothèses!$B$18</f>
        <v>170</v>
      </c>
      <c r="H9" s="62" t="n">
        <f aca="false">MIN(E9,Hypothèses!$B$6*Hypothèses!$B$25)*IF(B9&lt;=5,Hypothèses!$B$23,Hypothèses!$B$24)*Hypothèses!$B$21</f>
        <v>288</v>
      </c>
      <c r="I9" s="62" t="n">
        <f aca="false">MIN(E9,Hypothèses!$B$6*Hypothèses!$B$25)*Hypothèses!$B$17*IF(B9&lt;=5,Hypothèses!$B$23,Hypothèses!$B$24)*Hypothèses!$B$22</f>
        <v>57.6</v>
      </c>
      <c r="J9" s="62" t="n">
        <v>0</v>
      </c>
      <c r="K9" s="63" t="n">
        <f aca="false">IF(C9="Activité",IF(B9=1,Hypothèses!$B$28,Hypothèses!$B$29),0)</f>
        <v>720</v>
      </c>
      <c r="L9" s="64" t="n">
        <f aca="false">F9+G9+H9+I9+J9-K9</f>
        <v>5395.6</v>
      </c>
      <c r="M9" s="65" t="n">
        <f aca="false">M8+L9</f>
        <v>21084</v>
      </c>
    </row>
    <row r="10" customFormat="false" ht="18" hidden="false" customHeight="true" outlineLevel="0" collapsed="false">
      <c r="A10" s="52" t="n">
        <f aca="false">2024+5</f>
        <v>2029</v>
      </c>
      <c r="B10" s="53" t="n">
        <v>5</v>
      </c>
      <c r="C10" s="53" t="str">
        <f aca="false">IF(B10&lt;=Hypothèses!$B$8,"Activité",IF(B10&lt;=Hypothèses!$B$8+Hypothèses!$B$9,"Post-retraite","Fin"))</f>
        <v>Activité</v>
      </c>
      <c r="D10" s="52" t="n">
        <f aca="false">IF(C10="Activité",Hypothèses!$B$6*(1+Hypothèses!$B$7)^(B10-1),0)</f>
        <v>4</v>
      </c>
      <c r="E10" s="54" t="n">
        <f aca="false">E9+D10</f>
        <v>20</v>
      </c>
      <c r="F10" s="55" t="n">
        <f aca="false">D10*(Hypothèses!$B$12-Hypothèses!$B$13-Hypothèses!$B$14)</f>
        <v>5600</v>
      </c>
      <c r="G10" s="55" t="n">
        <f aca="false">(D9*0.05+D8*0.07+D7*0.05+D6*0.03)*Hypothèses!$B$18</f>
        <v>200</v>
      </c>
      <c r="H10" s="55" t="n">
        <f aca="false">MIN(E10,Hypothèses!$B$6*Hypothèses!$B$25)*IF(B10&lt;=5,Hypothèses!$B$23,Hypothèses!$B$24)*Hypothèses!$B$21</f>
        <v>360</v>
      </c>
      <c r="I10" s="55" t="n">
        <f aca="false">MIN(E10,Hypothèses!$B$6*Hypothèses!$B$25)*Hypothèses!$B$17*IF(B10&lt;=5,Hypothèses!$B$23,Hypothèses!$B$24)*Hypothèses!$B$22</f>
        <v>72</v>
      </c>
      <c r="J10" s="55" t="n">
        <v>0</v>
      </c>
      <c r="K10" s="56" t="n">
        <f aca="false">IF(C10="Activité",IF(B10=1,Hypothèses!$B$28,Hypothèses!$B$29),0)</f>
        <v>720</v>
      </c>
      <c r="L10" s="57" t="n">
        <f aca="false">F10+G10+H10+I10+J10-K10</f>
        <v>5512</v>
      </c>
      <c r="M10" s="58" t="n">
        <f aca="false">M9+L10</f>
        <v>26596</v>
      </c>
    </row>
    <row r="11" customFormat="false" ht="18" hidden="false" customHeight="true" outlineLevel="0" collapsed="false">
      <c r="A11" s="59" t="n">
        <f aca="false">2024+6</f>
        <v>2030</v>
      </c>
      <c r="B11" s="60" t="n">
        <v>6</v>
      </c>
      <c r="C11" s="60" t="str">
        <f aca="false">IF(B11&lt;=Hypothèses!$B$8,"Activité",IF(B11&lt;=Hypothèses!$B$8+Hypothèses!$B$9,"Post-retraite","Fin"))</f>
        <v>Activité</v>
      </c>
      <c r="D11" s="59" t="n">
        <f aca="false">IF(C11="Activité",Hypothèses!$B$6*(1+Hypothèses!$B$7)^(B11-1),0)</f>
        <v>4</v>
      </c>
      <c r="E11" s="61" t="n">
        <f aca="false">E10+D11</f>
        <v>24</v>
      </c>
      <c r="F11" s="62" t="n">
        <f aca="false">D11*(Hypothèses!$B$12-Hypothèses!$B$13-Hypothèses!$B$14)</f>
        <v>5600</v>
      </c>
      <c r="G11" s="62" t="n">
        <f aca="false">(D10*0.05+D9*0.07+D8*0.05+D7*0.03)*Hypothèses!$B$18</f>
        <v>200</v>
      </c>
      <c r="H11" s="62" t="n">
        <f aca="false">MIN(E11,Hypothèses!$B$6*Hypothèses!$B$25)*IF(B11&lt;=5,Hypothèses!$B$23,Hypothèses!$B$24)*Hypothèses!$B$21</f>
        <v>384</v>
      </c>
      <c r="I11" s="62" t="n">
        <f aca="false">MIN(E11,Hypothèses!$B$6*Hypothèses!$B$25)*Hypothèses!$B$17*IF(B11&lt;=5,Hypothèses!$B$23,Hypothèses!$B$24)*Hypothèses!$B$22</f>
        <v>76.8</v>
      </c>
      <c r="J11" s="62" t="n">
        <v>0</v>
      </c>
      <c r="K11" s="63" t="n">
        <f aca="false">IF(C11="Activité",IF(B11=1,Hypothèses!$B$28,Hypothèses!$B$29),0)</f>
        <v>720</v>
      </c>
      <c r="L11" s="64" t="n">
        <f aca="false">F11+G11+H11+I11+J11-K11</f>
        <v>5540.8</v>
      </c>
      <c r="M11" s="65" t="n">
        <f aca="false">M10+L11</f>
        <v>32136.8</v>
      </c>
    </row>
    <row r="12" customFormat="false" ht="18" hidden="false" customHeight="true" outlineLevel="0" collapsed="false">
      <c r="A12" s="52" t="n">
        <f aca="false">2024+7</f>
        <v>2031</v>
      </c>
      <c r="B12" s="53" t="n">
        <v>7</v>
      </c>
      <c r="C12" s="53" t="str">
        <f aca="false">IF(B12&lt;=Hypothèses!$B$8,"Activité",IF(B12&lt;=Hypothèses!$B$8+Hypothèses!$B$9,"Post-retraite","Fin"))</f>
        <v>Activité</v>
      </c>
      <c r="D12" s="52" t="n">
        <f aca="false">IF(C12="Activité",Hypothèses!$B$6*(1+Hypothèses!$B$7)^(B12-1),0)</f>
        <v>4</v>
      </c>
      <c r="E12" s="54" t="n">
        <f aca="false">E11+D12</f>
        <v>28</v>
      </c>
      <c r="F12" s="55" t="n">
        <f aca="false">D12*(Hypothèses!$B$12-Hypothèses!$B$13-Hypothèses!$B$14)</f>
        <v>5600</v>
      </c>
      <c r="G12" s="55" t="n">
        <f aca="false">(D11*0.05+D10*0.07+D9*0.05+D8*0.03)*Hypothèses!$B$18</f>
        <v>200</v>
      </c>
      <c r="H12" s="55" t="n">
        <f aca="false">MIN(E12,Hypothèses!$B$6*Hypothèses!$B$25)*IF(B12&lt;=5,Hypothèses!$B$23,Hypothèses!$B$24)*Hypothèses!$B$21</f>
        <v>448</v>
      </c>
      <c r="I12" s="55" t="n">
        <f aca="false">MIN(E12,Hypothèses!$B$6*Hypothèses!$B$25)*Hypothèses!$B$17*IF(B12&lt;=5,Hypothèses!$B$23,Hypothèses!$B$24)*Hypothèses!$B$22</f>
        <v>89.6</v>
      </c>
      <c r="J12" s="55" t="n">
        <v>0</v>
      </c>
      <c r="K12" s="56" t="n">
        <f aca="false">IF(C12="Activité",IF(B12=1,Hypothèses!$B$28,Hypothèses!$B$29),0)</f>
        <v>720</v>
      </c>
      <c r="L12" s="57" t="n">
        <f aca="false">F12+G12+H12+I12+J12-K12</f>
        <v>5617.6</v>
      </c>
      <c r="M12" s="58" t="n">
        <f aca="false">M11+L12</f>
        <v>37754.4</v>
      </c>
    </row>
    <row r="13" customFormat="false" ht="18" hidden="false" customHeight="true" outlineLevel="0" collapsed="false">
      <c r="A13" s="59" t="n">
        <f aca="false">2024+8</f>
        <v>2032</v>
      </c>
      <c r="B13" s="60" t="n">
        <v>8</v>
      </c>
      <c r="C13" s="60" t="str">
        <f aca="false">IF(B13&lt;=Hypothèses!$B$8,"Activité",IF(B13&lt;=Hypothèses!$B$8+Hypothèses!$B$9,"Post-retraite","Fin"))</f>
        <v>Activité</v>
      </c>
      <c r="D13" s="59" t="n">
        <f aca="false">IF(C13="Activité",Hypothèses!$B$6*(1+Hypothèses!$B$7)^(B13-1),0)</f>
        <v>4</v>
      </c>
      <c r="E13" s="61" t="n">
        <f aca="false">E12+D13</f>
        <v>32</v>
      </c>
      <c r="F13" s="62" t="n">
        <f aca="false">D13*(Hypothèses!$B$12-Hypothèses!$B$13-Hypothèses!$B$14)</f>
        <v>5600</v>
      </c>
      <c r="G13" s="62" t="n">
        <f aca="false">(D12*0.05+D11*0.07+D10*0.05+D9*0.03)*Hypothèses!$B$18</f>
        <v>200</v>
      </c>
      <c r="H13" s="62" t="n">
        <f aca="false">MIN(E13,Hypothèses!$B$6*Hypothèses!$B$25)*IF(B13&lt;=5,Hypothèses!$B$23,Hypothèses!$B$24)*Hypothèses!$B$21</f>
        <v>512</v>
      </c>
      <c r="I13" s="62" t="n">
        <f aca="false">MIN(E13,Hypothèses!$B$6*Hypothèses!$B$25)*Hypothèses!$B$17*IF(B13&lt;=5,Hypothèses!$B$23,Hypothèses!$B$24)*Hypothèses!$B$22</f>
        <v>102.4</v>
      </c>
      <c r="J13" s="62" t="n">
        <v>0</v>
      </c>
      <c r="K13" s="63" t="n">
        <f aca="false">IF(C13="Activité",IF(B13=1,Hypothèses!$B$28,Hypothèses!$B$29),0)</f>
        <v>720</v>
      </c>
      <c r="L13" s="64" t="n">
        <f aca="false">F13+G13+H13+I13+J13-K13</f>
        <v>5694.4</v>
      </c>
      <c r="M13" s="65" t="n">
        <f aca="false">M12+L13</f>
        <v>43448.8</v>
      </c>
    </row>
    <row r="14" customFormat="false" ht="18" hidden="false" customHeight="true" outlineLevel="0" collapsed="false">
      <c r="A14" s="52" t="n">
        <f aca="false">2024+9</f>
        <v>2033</v>
      </c>
      <c r="B14" s="53" t="n">
        <v>9</v>
      </c>
      <c r="C14" s="53" t="str">
        <f aca="false">IF(B14&lt;=Hypothèses!$B$8,"Activité",IF(B14&lt;=Hypothèses!$B$8+Hypothèses!$B$9,"Post-retraite","Fin"))</f>
        <v>Activité</v>
      </c>
      <c r="D14" s="52" t="n">
        <f aca="false">IF(C14="Activité",Hypothèses!$B$6*(1+Hypothèses!$B$7)^(B14-1),0)</f>
        <v>4</v>
      </c>
      <c r="E14" s="54" t="n">
        <f aca="false">E13+D14</f>
        <v>36</v>
      </c>
      <c r="F14" s="55" t="n">
        <f aca="false">D14*(Hypothèses!$B$12-Hypothèses!$B$13-Hypothèses!$B$14)</f>
        <v>5600</v>
      </c>
      <c r="G14" s="55" t="n">
        <f aca="false">(D13*0.05+D12*0.07+D11*0.05+D10*0.03)*Hypothèses!$B$18</f>
        <v>200</v>
      </c>
      <c r="H14" s="55" t="n">
        <f aca="false">MIN(E14,Hypothèses!$B$6*Hypothèses!$B$25)*IF(B14&lt;=5,Hypothèses!$B$23,Hypothèses!$B$24)*Hypothèses!$B$21</f>
        <v>576</v>
      </c>
      <c r="I14" s="55" t="n">
        <f aca="false">MIN(E14,Hypothèses!$B$6*Hypothèses!$B$25)*Hypothèses!$B$17*IF(B14&lt;=5,Hypothèses!$B$23,Hypothèses!$B$24)*Hypothèses!$B$22</f>
        <v>115.2</v>
      </c>
      <c r="J14" s="55" t="n">
        <v>0</v>
      </c>
      <c r="K14" s="56" t="n">
        <f aca="false">IF(C14="Activité",IF(B14=1,Hypothèses!$B$28,Hypothèses!$B$29),0)</f>
        <v>720</v>
      </c>
      <c r="L14" s="57" t="n">
        <f aca="false">F14+G14+H14+I14+J14-K14</f>
        <v>5771.2</v>
      </c>
      <c r="M14" s="58" t="n">
        <f aca="false">M13+L14</f>
        <v>49220</v>
      </c>
    </row>
    <row r="15" customFormat="false" ht="18" hidden="false" customHeight="true" outlineLevel="0" collapsed="false">
      <c r="A15" s="59" t="n">
        <f aca="false">2024+10</f>
        <v>2034</v>
      </c>
      <c r="B15" s="60" t="n">
        <v>10</v>
      </c>
      <c r="C15" s="60" t="str">
        <f aca="false">IF(B15&lt;=Hypothèses!$B$8,"Activité",IF(B15&lt;=Hypothèses!$B$8+Hypothèses!$B$9,"Post-retraite","Fin"))</f>
        <v>Activité</v>
      </c>
      <c r="D15" s="59" t="n">
        <f aca="false">IF(C15="Activité",Hypothèses!$B$6*(1+Hypothèses!$B$7)^(B15-1),0)</f>
        <v>4</v>
      </c>
      <c r="E15" s="61" t="n">
        <f aca="false">E14+D15</f>
        <v>40</v>
      </c>
      <c r="F15" s="62" t="n">
        <f aca="false">D15*(Hypothèses!$B$12-Hypothèses!$B$13-Hypothèses!$B$14)</f>
        <v>5600</v>
      </c>
      <c r="G15" s="62" t="n">
        <f aca="false">(D14*0.05+D13*0.07+D12*0.05+D11*0.03)*Hypothèses!$B$18</f>
        <v>200</v>
      </c>
      <c r="H15" s="62" t="n">
        <f aca="false">MIN(E15,Hypothèses!$B$6*Hypothèses!$B$25)*IF(B15&lt;=5,Hypothèses!$B$23,Hypothèses!$B$24)*Hypothèses!$B$21</f>
        <v>640</v>
      </c>
      <c r="I15" s="62" t="n">
        <f aca="false">MIN(E15,Hypothèses!$B$6*Hypothèses!$B$25)*Hypothèses!$B$17*IF(B15&lt;=5,Hypothèses!$B$23,Hypothèses!$B$24)*Hypothèses!$B$22</f>
        <v>128</v>
      </c>
      <c r="J15" s="62" t="n">
        <v>0</v>
      </c>
      <c r="K15" s="63" t="n">
        <f aca="false">IF(C15="Activité",IF(B15=1,Hypothèses!$B$28,Hypothèses!$B$29),0)</f>
        <v>720</v>
      </c>
      <c r="L15" s="64" t="n">
        <f aca="false">F15+G15+H15+I15+J15-K15</f>
        <v>5848</v>
      </c>
      <c r="M15" s="65" t="n">
        <f aca="false">M14+L15</f>
        <v>55068</v>
      </c>
    </row>
    <row r="16" customFormat="false" ht="18" hidden="false" customHeight="true" outlineLevel="0" collapsed="false">
      <c r="A16" s="52" t="n">
        <f aca="false">2024+11</f>
        <v>2035</v>
      </c>
      <c r="B16" s="53" t="n">
        <v>11</v>
      </c>
      <c r="C16" s="53" t="str">
        <f aca="false">IF(B16&lt;=Hypothèses!$B$8,"Activité",IF(B16&lt;=Hypothèses!$B$8+Hypothèses!$B$9,"Post-retraite","Fin"))</f>
        <v>Activité</v>
      </c>
      <c r="D16" s="52" t="n">
        <f aca="false">IF(C16="Activité",Hypothèses!$B$6*(1+Hypothèses!$B$7)^(B16-1),0)</f>
        <v>4</v>
      </c>
      <c r="E16" s="54" t="n">
        <f aca="false">E15+D16</f>
        <v>44</v>
      </c>
      <c r="F16" s="55" t="n">
        <f aca="false">D16*(Hypothèses!$B$12-Hypothèses!$B$13-Hypothèses!$B$14)</f>
        <v>5600</v>
      </c>
      <c r="G16" s="55" t="n">
        <f aca="false">(D15*0.05+D14*0.07+D13*0.05+D12*0.03)*Hypothèses!$B$18</f>
        <v>200</v>
      </c>
      <c r="H16" s="55" t="n">
        <f aca="false">MIN(E16,Hypothèses!$B$6*Hypothèses!$B$25)*IF(B16&lt;=5,Hypothèses!$B$23,Hypothèses!$B$24)*Hypothèses!$B$21</f>
        <v>704</v>
      </c>
      <c r="I16" s="55" t="n">
        <f aca="false">MIN(E16,Hypothèses!$B$6*Hypothèses!$B$25)*Hypothèses!$B$17*IF(B16&lt;=5,Hypothèses!$B$23,Hypothèses!$B$24)*Hypothèses!$B$22</f>
        <v>140.8</v>
      </c>
      <c r="J16" s="55" t="n">
        <v>0</v>
      </c>
      <c r="K16" s="56" t="n">
        <f aca="false">IF(C16="Activité",IF(B16=1,Hypothèses!$B$28,Hypothèses!$B$29),0)</f>
        <v>720</v>
      </c>
      <c r="L16" s="57" t="n">
        <f aca="false">F16+G16+H16+I16+J16-K16</f>
        <v>5924.8</v>
      </c>
      <c r="M16" s="58" t="n">
        <f aca="false">M15+L16</f>
        <v>60992.8</v>
      </c>
    </row>
    <row r="17" customFormat="false" ht="18" hidden="false" customHeight="true" outlineLevel="0" collapsed="false">
      <c r="A17" s="59" t="n">
        <f aca="false">2024+12</f>
        <v>2036</v>
      </c>
      <c r="B17" s="60" t="n">
        <v>12</v>
      </c>
      <c r="C17" s="60" t="str">
        <f aca="false">IF(B17&lt;=Hypothèses!$B$8,"Activité",IF(B17&lt;=Hypothèses!$B$8+Hypothèses!$B$9,"Post-retraite","Fin"))</f>
        <v>Activité</v>
      </c>
      <c r="D17" s="59" t="n">
        <f aca="false">IF(C17="Activité",Hypothèses!$B$6*(1+Hypothèses!$B$7)^(B17-1),0)</f>
        <v>4</v>
      </c>
      <c r="E17" s="61" t="n">
        <f aca="false">E16+D17</f>
        <v>48</v>
      </c>
      <c r="F17" s="62" t="n">
        <f aca="false">D17*(Hypothèses!$B$12-Hypothèses!$B$13-Hypothèses!$B$14)</f>
        <v>5600</v>
      </c>
      <c r="G17" s="62" t="n">
        <f aca="false">(D16*0.05+D15*0.07+D14*0.05+D13*0.03)*Hypothèses!$B$18</f>
        <v>200</v>
      </c>
      <c r="H17" s="62" t="n">
        <f aca="false">MIN(E17,Hypothèses!$B$6*Hypothèses!$B$25)*IF(B17&lt;=5,Hypothèses!$B$23,Hypothèses!$B$24)*Hypothèses!$B$21</f>
        <v>768</v>
      </c>
      <c r="I17" s="62" t="n">
        <f aca="false">MIN(E17,Hypothèses!$B$6*Hypothèses!$B$25)*Hypothèses!$B$17*IF(B17&lt;=5,Hypothèses!$B$23,Hypothèses!$B$24)*Hypothèses!$B$22</f>
        <v>153.6</v>
      </c>
      <c r="J17" s="62" t="n">
        <v>0</v>
      </c>
      <c r="K17" s="63" t="n">
        <f aca="false">IF(C17="Activité",IF(B17=1,Hypothèses!$B$28,Hypothèses!$B$29),0)</f>
        <v>720</v>
      </c>
      <c r="L17" s="64" t="n">
        <f aca="false">F17+G17+H17+I17+J17-K17</f>
        <v>6001.6</v>
      </c>
      <c r="M17" s="65" t="n">
        <f aca="false">M16+L17</f>
        <v>66994.4</v>
      </c>
    </row>
    <row r="18" customFormat="false" ht="18" hidden="false" customHeight="true" outlineLevel="0" collapsed="false">
      <c r="A18" s="52" t="n">
        <f aca="false">2024+13</f>
        <v>2037</v>
      </c>
      <c r="B18" s="53" t="n">
        <v>13</v>
      </c>
      <c r="C18" s="53" t="str">
        <f aca="false">IF(B18&lt;=Hypothèses!$B$8,"Activité",IF(B18&lt;=Hypothèses!$B$8+Hypothèses!$B$9,"Post-retraite","Fin"))</f>
        <v>Activité</v>
      </c>
      <c r="D18" s="52" t="n">
        <f aca="false">IF(C18="Activité",Hypothèses!$B$6*(1+Hypothèses!$B$7)^(B18-1),0)</f>
        <v>4</v>
      </c>
      <c r="E18" s="54" t="n">
        <f aca="false">E17+D18</f>
        <v>52</v>
      </c>
      <c r="F18" s="55" t="n">
        <f aca="false">D18*(Hypothèses!$B$12-Hypothèses!$B$13-Hypothèses!$B$14)</f>
        <v>5600</v>
      </c>
      <c r="G18" s="55" t="n">
        <f aca="false">(D17*0.05+D16*0.07+D15*0.05+D14*0.03)*Hypothèses!$B$18</f>
        <v>200</v>
      </c>
      <c r="H18" s="55" t="n">
        <f aca="false">MIN(E18,Hypothèses!$B$6*Hypothèses!$B$25)*IF(B18&lt;=5,Hypothèses!$B$23,Hypothèses!$B$24)*Hypothèses!$B$21</f>
        <v>832</v>
      </c>
      <c r="I18" s="55" t="n">
        <f aca="false">MIN(E18,Hypothèses!$B$6*Hypothèses!$B$25)*Hypothèses!$B$17*IF(B18&lt;=5,Hypothèses!$B$23,Hypothèses!$B$24)*Hypothèses!$B$22</f>
        <v>166.4</v>
      </c>
      <c r="J18" s="55" t="n">
        <v>0</v>
      </c>
      <c r="K18" s="56" t="n">
        <f aca="false">IF(C18="Activité",IF(B18=1,Hypothèses!$B$28,Hypothèses!$B$29),0)</f>
        <v>720</v>
      </c>
      <c r="L18" s="57" t="n">
        <f aca="false">F18+G18+H18+I18+J18-K18</f>
        <v>6078.4</v>
      </c>
      <c r="M18" s="58" t="n">
        <f aca="false">M17+L18</f>
        <v>73072.8</v>
      </c>
    </row>
    <row r="19" customFormat="false" ht="18" hidden="false" customHeight="true" outlineLevel="0" collapsed="false">
      <c r="A19" s="59" t="n">
        <f aca="false">2024+14</f>
        <v>2038</v>
      </c>
      <c r="B19" s="60" t="n">
        <v>14</v>
      </c>
      <c r="C19" s="60" t="str">
        <f aca="false">IF(B19&lt;=Hypothèses!$B$8,"Activité",IF(B19&lt;=Hypothèses!$B$8+Hypothèses!$B$9,"Post-retraite","Fin"))</f>
        <v>Activité</v>
      </c>
      <c r="D19" s="59" t="n">
        <f aca="false">IF(C19="Activité",Hypothèses!$B$6*(1+Hypothèses!$B$7)^(B19-1),0)</f>
        <v>4</v>
      </c>
      <c r="E19" s="61" t="n">
        <f aca="false">E18+D19</f>
        <v>56</v>
      </c>
      <c r="F19" s="62" t="n">
        <f aca="false">D19*(Hypothèses!$B$12-Hypothèses!$B$13-Hypothèses!$B$14)</f>
        <v>5600</v>
      </c>
      <c r="G19" s="62" t="n">
        <f aca="false">(D18*0.05+D17*0.07+D16*0.05+D15*0.03)*Hypothèses!$B$18</f>
        <v>200</v>
      </c>
      <c r="H19" s="62" t="n">
        <f aca="false">MIN(E19,Hypothèses!$B$6*Hypothèses!$B$25)*IF(B19&lt;=5,Hypothèses!$B$23,Hypothèses!$B$24)*Hypothèses!$B$21</f>
        <v>896</v>
      </c>
      <c r="I19" s="62" t="n">
        <f aca="false">MIN(E19,Hypothèses!$B$6*Hypothèses!$B$25)*Hypothèses!$B$17*IF(B19&lt;=5,Hypothèses!$B$23,Hypothèses!$B$24)*Hypothèses!$B$22</f>
        <v>179.2</v>
      </c>
      <c r="J19" s="62" t="n">
        <v>0</v>
      </c>
      <c r="K19" s="63" t="n">
        <f aca="false">IF(C19="Activité",IF(B19=1,Hypothèses!$B$28,Hypothèses!$B$29),0)</f>
        <v>720</v>
      </c>
      <c r="L19" s="64" t="n">
        <f aca="false">F19+G19+H19+I19+J19-K19</f>
        <v>6155.2</v>
      </c>
      <c r="M19" s="65" t="n">
        <f aca="false">M18+L19</f>
        <v>79228</v>
      </c>
    </row>
    <row r="20" customFormat="false" ht="18" hidden="false" customHeight="true" outlineLevel="0" collapsed="false">
      <c r="A20" s="52" t="n">
        <f aca="false">2024+15</f>
        <v>2039</v>
      </c>
      <c r="B20" s="53" t="n">
        <v>15</v>
      </c>
      <c r="C20" s="53" t="str">
        <f aca="false">IF(B20&lt;=Hypothèses!$B$8,"Activité",IF(B20&lt;=Hypothèses!$B$8+Hypothèses!$B$9,"Post-retraite","Fin"))</f>
        <v>Activité</v>
      </c>
      <c r="D20" s="52" t="n">
        <f aca="false">IF(C20="Activité",Hypothèses!$B$6*(1+Hypothèses!$B$7)^(B20-1),0)</f>
        <v>4</v>
      </c>
      <c r="E20" s="54" t="n">
        <f aca="false">E19+D20</f>
        <v>60</v>
      </c>
      <c r="F20" s="55" t="n">
        <f aca="false">D20*(Hypothèses!$B$12-Hypothèses!$B$13-Hypothèses!$B$14)</f>
        <v>5600</v>
      </c>
      <c r="G20" s="55" t="n">
        <f aca="false">(D19*0.05+D18*0.07+D17*0.05+D16*0.03)*Hypothèses!$B$18</f>
        <v>200</v>
      </c>
      <c r="H20" s="55" t="n">
        <f aca="false">MIN(E20,Hypothèses!$B$6*Hypothèses!$B$25)*IF(B20&lt;=5,Hypothèses!$B$23,Hypothèses!$B$24)*Hypothèses!$B$21</f>
        <v>960</v>
      </c>
      <c r="I20" s="55" t="n">
        <f aca="false">MIN(E20,Hypothèses!$B$6*Hypothèses!$B$25)*Hypothèses!$B$17*IF(B20&lt;=5,Hypothèses!$B$23,Hypothèses!$B$24)*Hypothèses!$B$22</f>
        <v>192</v>
      </c>
      <c r="J20" s="55" t="n">
        <v>0</v>
      </c>
      <c r="K20" s="56" t="n">
        <f aca="false">IF(C20="Activité",IF(B20=1,Hypothèses!$B$28,Hypothèses!$B$29),0)</f>
        <v>720</v>
      </c>
      <c r="L20" s="57" t="n">
        <f aca="false">F20+G20+H20+I20+J20-K20</f>
        <v>6232</v>
      </c>
      <c r="M20" s="58" t="n">
        <f aca="false">M19+L20</f>
        <v>85460</v>
      </c>
    </row>
    <row r="21" customFormat="false" ht="18" hidden="false" customHeight="true" outlineLevel="0" collapsed="false">
      <c r="A21" s="59" t="n">
        <f aca="false">2024+16</f>
        <v>2040</v>
      </c>
      <c r="B21" s="60" t="n">
        <v>16</v>
      </c>
      <c r="C21" s="60" t="str">
        <f aca="false">IF(B21&lt;=Hypothèses!$B$8,"Activité",IF(B21&lt;=Hypothèses!$B$8+Hypothèses!$B$9,"Post-retraite","Fin"))</f>
        <v>Post-retraite</v>
      </c>
      <c r="D21" s="59" t="n">
        <f aca="false">IF(C21="Activité",Hypothèses!$B$6*(1+Hypothèses!$B$7)^(B21-1),0)</f>
        <v>0</v>
      </c>
      <c r="E21" s="61" t="n">
        <f aca="false">E20+D21</f>
        <v>60</v>
      </c>
      <c r="F21" s="62" t="n">
        <f aca="false">D21*(Hypothèses!$B$12-Hypothèses!$B$13-Hypothèses!$B$14)</f>
        <v>0</v>
      </c>
      <c r="G21" s="62" t="n">
        <f aca="false">(D20*0.05+D19*0.07+D18*0.05+D17*0.03)*Hypothèses!$B$18</f>
        <v>200</v>
      </c>
      <c r="H21" s="62" t="n">
        <f aca="false">MIN(E21,Hypothèses!$B$6*Hypothèses!$B$25)*IF(B21&lt;=5,Hypothèses!$B$23,Hypothèses!$B$24)*Hypothèses!$B$21</f>
        <v>960</v>
      </c>
      <c r="I21" s="62" t="n">
        <f aca="false">MIN(E21,Hypothèses!$B$6*Hypothèses!$B$25)*Hypothèses!$B$17*IF(B21&lt;=5,Hypothèses!$B$23,Hypothèses!$B$24)*Hypothèses!$B$22</f>
        <v>192</v>
      </c>
      <c r="J21" s="62" t="n">
        <v>0</v>
      </c>
      <c r="K21" s="63" t="n">
        <f aca="false">IF(C21="Activité",IF(B21=1,Hypothèses!$B$28,Hypothèses!$B$29),0)</f>
        <v>0</v>
      </c>
      <c r="L21" s="64" t="n">
        <f aca="false">F21+G21+H21+I21+J21-K21</f>
        <v>1352</v>
      </c>
      <c r="M21" s="65" t="n">
        <f aca="false">M20+L21</f>
        <v>86812</v>
      </c>
    </row>
    <row r="22" customFormat="false" ht="18" hidden="false" customHeight="true" outlineLevel="0" collapsed="false">
      <c r="A22" s="52" t="n">
        <f aca="false">2024+17</f>
        <v>2041</v>
      </c>
      <c r="B22" s="53" t="n">
        <v>17</v>
      </c>
      <c r="C22" s="53" t="str">
        <f aca="false">IF(B22&lt;=Hypothèses!$B$8,"Activité",IF(B22&lt;=Hypothèses!$B$8+Hypothèses!$B$9,"Post-retraite","Fin"))</f>
        <v>Post-retraite</v>
      </c>
      <c r="D22" s="52" t="n">
        <f aca="false">IF(C22="Activité",Hypothèses!$B$6*(1+Hypothèses!$B$7)^(B22-1),0)</f>
        <v>0</v>
      </c>
      <c r="E22" s="54" t="n">
        <f aca="false">E21+D22</f>
        <v>60</v>
      </c>
      <c r="F22" s="55" t="n">
        <f aca="false">D22*(Hypothèses!$B$12-Hypothèses!$B$13-Hypothèses!$B$14)</f>
        <v>0</v>
      </c>
      <c r="G22" s="55" t="n">
        <f aca="false">(D21*0.05+D20*0.07+D19*0.05+D18*0.03)*Hypothèses!$B$18</f>
        <v>150</v>
      </c>
      <c r="H22" s="55" t="n">
        <f aca="false">MIN(E22,Hypothèses!$B$6*Hypothèses!$B$25)*IF(B22&lt;=5,Hypothèses!$B$23,Hypothèses!$B$24)*Hypothèses!$B$21</f>
        <v>960</v>
      </c>
      <c r="I22" s="55" t="n">
        <f aca="false">MIN(E22,Hypothèses!$B$6*Hypothèses!$B$25)*Hypothèses!$B$17*IF(B22&lt;=5,Hypothèses!$B$23,Hypothèses!$B$24)*Hypothèses!$B$22</f>
        <v>192</v>
      </c>
      <c r="J22" s="55" t="n">
        <v>0</v>
      </c>
      <c r="K22" s="56" t="n">
        <f aca="false">IF(C22="Activité",IF(B22=1,Hypothèses!$B$28,Hypothèses!$B$29),0)</f>
        <v>0</v>
      </c>
      <c r="L22" s="57" t="n">
        <f aca="false">F22+G22+H22+I22+J22-K22</f>
        <v>1302</v>
      </c>
      <c r="M22" s="58" t="n">
        <f aca="false">M21+L22</f>
        <v>88114</v>
      </c>
    </row>
    <row r="23" customFormat="false" ht="18" hidden="false" customHeight="true" outlineLevel="0" collapsed="false">
      <c r="A23" s="59" t="n">
        <f aca="false">2024+18</f>
        <v>2042</v>
      </c>
      <c r="B23" s="60" t="n">
        <v>18</v>
      </c>
      <c r="C23" s="60" t="str">
        <f aca="false">IF(B23&lt;=Hypothèses!$B$8,"Activité",IF(B23&lt;=Hypothèses!$B$8+Hypothèses!$B$9,"Post-retraite","Fin"))</f>
        <v>Post-retraite</v>
      </c>
      <c r="D23" s="59" t="n">
        <f aca="false">IF(C23="Activité",Hypothèses!$B$6*(1+Hypothèses!$B$7)^(B23-1),0)</f>
        <v>0</v>
      </c>
      <c r="E23" s="61" t="n">
        <f aca="false">E22+D23</f>
        <v>60</v>
      </c>
      <c r="F23" s="62" t="n">
        <f aca="false">D23*(Hypothèses!$B$12-Hypothèses!$B$13-Hypothèses!$B$14)</f>
        <v>0</v>
      </c>
      <c r="G23" s="62" t="n">
        <f aca="false">(D22*0.05+D21*0.07+D20*0.05+D19*0.03)*Hypothèses!$B$18</f>
        <v>80</v>
      </c>
      <c r="H23" s="62" t="n">
        <f aca="false">MIN(E23,Hypothèses!$B$6*Hypothèses!$B$25)*IF(B23&lt;=5,Hypothèses!$B$23,Hypothèses!$B$24)*Hypothèses!$B$21</f>
        <v>960</v>
      </c>
      <c r="I23" s="62" t="n">
        <f aca="false">MIN(E23,Hypothèses!$B$6*Hypothèses!$B$25)*Hypothèses!$B$17*IF(B23&lt;=5,Hypothèses!$B$23,Hypothèses!$B$24)*Hypothèses!$B$22</f>
        <v>192</v>
      </c>
      <c r="J23" s="62" t="n">
        <v>0</v>
      </c>
      <c r="K23" s="63" t="n">
        <f aca="false">IF(C23="Activité",IF(B23=1,Hypothèses!$B$28,Hypothèses!$B$29),0)</f>
        <v>0</v>
      </c>
      <c r="L23" s="64" t="n">
        <f aca="false">F23+G23+H23+I23+J23-K23</f>
        <v>1232</v>
      </c>
      <c r="M23" s="65" t="n">
        <f aca="false">M22+L23</f>
        <v>89346</v>
      </c>
    </row>
    <row r="24" customFormat="false" ht="18" hidden="false" customHeight="true" outlineLevel="0" collapsed="false">
      <c r="A24" s="52" t="n">
        <f aca="false">2024+19</f>
        <v>2043</v>
      </c>
      <c r="B24" s="53" t="n">
        <v>19</v>
      </c>
      <c r="C24" s="53" t="str">
        <f aca="false">IF(B24&lt;=Hypothèses!$B$8,"Activité",IF(B24&lt;=Hypothèses!$B$8+Hypothèses!$B$9,"Post-retraite","Fin"))</f>
        <v>Post-retraite</v>
      </c>
      <c r="D24" s="52" t="n">
        <f aca="false">IF(C24="Activité",Hypothèses!$B$6*(1+Hypothèses!$B$7)^(B24-1),0)</f>
        <v>0</v>
      </c>
      <c r="E24" s="54" t="n">
        <f aca="false">E23+D24</f>
        <v>60</v>
      </c>
      <c r="F24" s="55" t="n">
        <f aca="false">D24*(Hypothèses!$B$12-Hypothèses!$B$13-Hypothèses!$B$14)</f>
        <v>0</v>
      </c>
      <c r="G24" s="55" t="n">
        <f aca="false">(D23*0.05+D22*0.07+D21*0.05+D20*0.03)*Hypothèses!$B$18</f>
        <v>30</v>
      </c>
      <c r="H24" s="55" t="n">
        <f aca="false">MIN(E24,Hypothèses!$B$6*Hypothèses!$B$25)*IF(B24&lt;=5,Hypothèses!$B$23,Hypothèses!$B$24)*Hypothèses!$B$21</f>
        <v>960</v>
      </c>
      <c r="I24" s="55" t="n">
        <f aca="false">MIN(E24,Hypothèses!$B$6*Hypothèses!$B$25)*Hypothèses!$B$17*IF(B24&lt;=5,Hypothèses!$B$23,Hypothèses!$B$24)*Hypothèses!$B$22</f>
        <v>192</v>
      </c>
      <c r="J24" s="55" t="n">
        <v>0</v>
      </c>
      <c r="K24" s="56" t="n">
        <f aca="false">IF(C24="Activité",IF(B24=1,Hypothèses!$B$28,Hypothèses!$B$29),0)</f>
        <v>0</v>
      </c>
      <c r="L24" s="57" t="n">
        <f aca="false">F24+G24+H24+I24+J24-K24</f>
        <v>1182</v>
      </c>
      <c r="M24" s="58" t="n">
        <f aca="false">M23+L24</f>
        <v>90528</v>
      </c>
    </row>
    <row r="25" customFormat="false" ht="18" hidden="false" customHeight="true" outlineLevel="0" collapsed="false">
      <c r="A25" s="59" t="n">
        <f aca="false">2024+20</f>
        <v>2044</v>
      </c>
      <c r="B25" s="60" t="n">
        <v>20</v>
      </c>
      <c r="C25" s="60" t="str">
        <f aca="false">IF(B25&lt;=Hypothèses!$B$8,"Activité",IF(B25&lt;=Hypothèses!$B$8+Hypothèses!$B$9,"Post-retraite","Fin"))</f>
        <v>Post-retraite</v>
      </c>
      <c r="D25" s="59" t="n">
        <f aca="false">IF(C25="Activité",Hypothèses!$B$6*(1+Hypothèses!$B$7)^(B25-1),0)</f>
        <v>0</v>
      </c>
      <c r="E25" s="61" t="n">
        <f aca="false">E24+D25</f>
        <v>60</v>
      </c>
      <c r="F25" s="62" t="n">
        <f aca="false">D25*(Hypothèses!$B$12-Hypothèses!$B$13-Hypothèses!$B$14)</f>
        <v>0</v>
      </c>
      <c r="G25" s="62" t="n">
        <f aca="false">(D24*0.05+D23*0.07+D22*0.05+D21*0.03)*Hypothèses!$B$18</f>
        <v>0</v>
      </c>
      <c r="H25" s="62" t="n">
        <f aca="false">MIN(E25,Hypothèses!$B$6*Hypothèses!$B$25)*IF(B25&lt;=5,Hypothèses!$B$23,Hypothèses!$B$24)*Hypothèses!$B$21</f>
        <v>960</v>
      </c>
      <c r="I25" s="62" t="n">
        <f aca="false">MIN(E25,Hypothèses!$B$6*Hypothèses!$B$25)*Hypothèses!$B$17*IF(B25&lt;=5,Hypothèses!$B$23,Hypothèses!$B$24)*Hypothèses!$B$22</f>
        <v>192</v>
      </c>
      <c r="J25" s="62" t="n">
        <v>0</v>
      </c>
      <c r="K25" s="63" t="n">
        <f aca="false">IF(C25="Activité",IF(B25=1,Hypothèses!$B$28,Hypothèses!$B$29),0)</f>
        <v>0</v>
      </c>
      <c r="L25" s="64" t="n">
        <f aca="false">F25+G25+H25+I25+J25-K25</f>
        <v>1152</v>
      </c>
      <c r="M25" s="65" t="n">
        <f aca="false">M24+L25</f>
        <v>91680</v>
      </c>
    </row>
    <row r="26" customFormat="false" ht="18" hidden="false" customHeight="true" outlineLevel="0" collapsed="false">
      <c r="A26" s="52" t="n">
        <f aca="false">2024+21</f>
        <v>2045</v>
      </c>
      <c r="B26" s="53" t="n">
        <v>21</v>
      </c>
      <c r="C26" s="53" t="str">
        <f aca="false">IF(B26&lt;=Hypothèses!$B$8,"Activité",IF(B26&lt;=Hypothèses!$B$8+Hypothèses!$B$9,"Post-retraite","Fin"))</f>
        <v>Post-retraite</v>
      </c>
      <c r="D26" s="52" t="n">
        <f aca="false">IF(C26="Activité",Hypothèses!$B$6*(1+Hypothèses!$B$7)^(B26-1),0)</f>
        <v>0</v>
      </c>
      <c r="E26" s="54" t="n">
        <f aca="false">E25+D26</f>
        <v>60</v>
      </c>
      <c r="F26" s="55" t="n">
        <f aca="false">D26*(Hypothèses!$B$12-Hypothèses!$B$13-Hypothèses!$B$14)</f>
        <v>0</v>
      </c>
      <c r="G26" s="55" t="n">
        <f aca="false">(D25*0.05+D24*0.07+D23*0.05+D22*0.03)*Hypothèses!$B$18</f>
        <v>0</v>
      </c>
      <c r="H26" s="55" t="n">
        <f aca="false">MIN(E26,Hypothèses!$B$6*Hypothèses!$B$25)*IF(B26&lt;=5,Hypothèses!$B$23,Hypothèses!$B$24)*Hypothèses!$B$21</f>
        <v>960</v>
      </c>
      <c r="I26" s="55" t="n">
        <f aca="false">MIN(E26,Hypothèses!$B$6*Hypothèses!$B$25)*Hypothèses!$B$17*IF(B26&lt;=5,Hypothèses!$B$23,Hypothèses!$B$24)*Hypothèses!$B$22</f>
        <v>192</v>
      </c>
      <c r="J26" s="55" t="n">
        <v>0</v>
      </c>
      <c r="K26" s="56" t="n">
        <f aca="false">IF(C26="Activité",IF(B26=1,Hypothèses!$B$28,Hypothèses!$B$29),0)</f>
        <v>0</v>
      </c>
      <c r="L26" s="57" t="n">
        <f aca="false">F26+G26+H26+I26+J26-K26</f>
        <v>1152</v>
      </c>
      <c r="M26" s="58" t="n">
        <f aca="false">M25+L26</f>
        <v>92832</v>
      </c>
    </row>
    <row r="27" customFormat="false" ht="18" hidden="false" customHeight="true" outlineLevel="0" collapsed="false">
      <c r="A27" s="59" t="n">
        <f aca="false">2024+22</f>
        <v>2046</v>
      </c>
      <c r="B27" s="60" t="n">
        <v>22</v>
      </c>
      <c r="C27" s="60" t="str">
        <f aca="false">IF(B27&lt;=Hypothèses!$B$8,"Activité",IF(B27&lt;=Hypothèses!$B$8+Hypothèses!$B$9,"Post-retraite","Fin"))</f>
        <v>Post-retraite</v>
      </c>
      <c r="D27" s="59" t="n">
        <f aca="false">IF(C27="Activité",Hypothèses!$B$6*(1+Hypothèses!$B$7)^(B27-1),0)</f>
        <v>0</v>
      </c>
      <c r="E27" s="61" t="n">
        <f aca="false">E26+D27</f>
        <v>60</v>
      </c>
      <c r="F27" s="62" t="n">
        <f aca="false">D27*(Hypothèses!$B$12-Hypothèses!$B$13-Hypothèses!$B$14)</f>
        <v>0</v>
      </c>
      <c r="G27" s="62" t="n">
        <f aca="false">(D26*0.05+D25*0.07+D24*0.05+D23*0.03)*Hypothèses!$B$18</f>
        <v>0</v>
      </c>
      <c r="H27" s="62" t="n">
        <f aca="false">MIN(E27,Hypothèses!$B$6*Hypothèses!$B$25)*IF(B27&lt;=5,Hypothèses!$B$23,Hypothèses!$B$24)*Hypothèses!$B$21</f>
        <v>960</v>
      </c>
      <c r="I27" s="62" t="n">
        <f aca="false">MIN(E27,Hypothèses!$B$6*Hypothèses!$B$25)*Hypothèses!$B$17*IF(B27&lt;=5,Hypothèses!$B$23,Hypothèses!$B$24)*Hypothèses!$B$22</f>
        <v>192</v>
      </c>
      <c r="J27" s="62" t="n">
        <v>0</v>
      </c>
      <c r="K27" s="63" t="n">
        <f aca="false">IF(C27="Activité",IF(B27=1,Hypothèses!$B$28,Hypothèses!$B$29),0)</f>
        <v>0</v>
      </c>
      <c r="L27" s="64" t="n">
        <f aca="false">F27+G27+H27+I27+J27-K27</f>
        <v>1152</v>
      </c>
      <c r="M27" s="65" t="n">
        <f aca="false">M26+L27</f>
        <v>93984</v>
      </c>
    </row>
    <row r="28" customFormat="false" ht="18" hidden="false" customHeight="true" outlineLevel="0" collapsed="false">
      <c r="A28" s="52" t="n">
        <f aca="false">2024+23</f>
        <v>2047</v>
      </c>
      <c r="B28" s="53" t="n">
        <v>23</v>
      </c>
      <c r="C28" s="53" t="str">
        <f aca="false">IF(B28&lt;=Hypothèses!$B$8,"Activité",IF(B28&lt;=Hypothèses!$B$8+Hypothèses!$B$9,"Post-retraite","Fin"))</f>
        <v>Post-retraite</v>
      </c>
      <c r="D28" s="52" t="n">
        <f aca="false">IF(C28="Activité",Hypothèses!$B$6*(1+Hypothèses!$B$7)^(B28-1),0)</f>
        <v>0</v>
      </c>
      <c r="E28" s="54" t="n">
        <f aca="false">E27+D28</f>
        <v>60</v>
      </c>
      <c r="F28" s="55" t="n">
        <f aca="false">D28*(Hypothèses!$B$12-Hypothèses!$B$13-Hypothèses!$B$14)</f>
        <v>0</v>
      </c>
      <c r="G28" s="55" t="n">
        <f aca="false">(D27*0.05+D26*0.07+D25*0.05+D24*0.03)*Hypothèses!$B$18</f>
        <v>0</v>
      </c>
      <c r="H28" s="55" t="n">
        <f aca="false">MIN(E28,Hypothèses!$B$6*Hypothèses!$B$25)*IF(B28&lt;=5,Hypothèses!$B$23,Hypothèses!$B$24)*Hypothèses!$B$21</f>
        <v>960</v>
      </c>
      <c r="I28" s="55" t="n">
        <f aca="false">MIN(E28,Hypothèses!$B$6*Hypothèses!$B$25)*Hypothèses!$B$17*IF(B28&lt;=5,Hypothèses!$B$23,Hypothèses!$B$24)*Hypothèses!$B$22</f>
        <v>192</v>
      </c>
      <c r="J28" s="55" t="n">
        <v>0</v>
      </c>
      <c r="K28" s="56" t="n">
        <f aca="false">IF(C28="Activité",IF(B28=1,Hypothèses!$B$28,Hypothèses!$B$29),0)</f>
        <v>0</v>
      </c>
      <c r="L28" s="57" t="n">
        <f aca="false">F28+G28+H28+I28+J28-K28</f>
        <v>1152</v>
      </c>
      <c r="M28" s="58" t="n">
        <f aca="false">M27+L28</f>
        <v>95136</v>
      </c>
    </row>
    <row r="29" customFormat="false" ht="18" hidden="false" customHeight="true" outlineLevel="0" collapsed="false">
      <c r="A29" s="59" t="n">
        <f aca="false">2024+24</f>
        <v>2048</v>
      </c>
      <c r="B29" s="60" t="n">
        <v>24</v>
      </c>
      <c r="C29" s="60" t="str">
        <f aca="false">IF(B29&lt;=Hypothèses!$B$8,"Activité",IF(B29&lt;=Hypothèses!$B$8+Hypothèses!$B$9,"Post-retraite","Fin"))</f>
        <v>Post-retraite</v>
      </c>
      <c r="D29" s="59" t="n">
        <f aca="false">IF(C29="Activité",Hypothèses!$B$6*(1+Hypothèses!$B$7)^(B29-1),0)</f>
        <v>0</v>
      </c>
      <c r="E29" s="61" t="n">
        <f aca="false">E28+D29</f>
        <v>60</v>
      </c>
      <c r="F29" s="62" t="n">
        <f aca="false">D29*(Hypothèses!$B$12-Hypothèses!$B$13-Hypothèses!$B$14)</f>
        <v>0</v>
      </c>
      <c r="G29" s="62" t="n">
        <f aca="false">(D28*0.05+D27*0.07+D26*0.05+D25*0.03)*Hypothèses!$B$18</f>
        <v>0</v>
      </c>
      <c r="H29" s="62" t="n">
        <f aca="false">MIN(E29,Hypothèses!$B$6*Hypothèses!$B$25)*IF(B29&lt;=5,Hypothèses!$B$23,Hypothèses!$B$24)*Hypothèses!$B$21</f>
        <v>960</v>
      </c>
      <c r="I29" s="62" t="n">
        <f aca="false">MIN(E29,Hypothèses!$B$6*Hypothèses!$B$25)*Hypothèses!$B$17*IF(B29&lt;=5,Hypothèses!$B$23,Hypothèses!$B$24)*Hypothèses!$B$22</f>
        <v>192</v>
      </c>
      <c r="J29" s="62" t="n">
        <v>0</v>
      </c>
      <c r="K29" s="63" t="n">
        <f aca="false">IF(C29="Activité",IF(B29=1,Hypothèses!$B$28,Hypothèses!$B$29),0)</f>
        <v>0</v>
      </c>
      <c r="L29" s="64" t="n">
        <f aca="false">F29+G29+H29+I29+J29-K29</f>
        <v>1152</v>
      </c>
      <c r="M29" s="65" t="n">
        <f aca="false">M28+L29</f>
        <v>96288</v>
      </c>
    </row>
    <row r="30" customFormat="false" ht="18" hidden="false" customHeight="true" outlineLevel="0" collapsed="false">
      <c r="A30" s="52" t="n">
        <f aca="false">2024+25</f>
        <v>2049</v>
      </c>
      <c r="B30" s="53" t="n">
        <v>25</v>
      </c>
      <c r="C30" s="53" t="str">
        <f aca="false">IF(B30&lt;=Hypothèses!$B$8,"Activité",IF(B30&lt;=Hypothèses!$B$8+Hypothèses!$B$9,"Post-retraite","Fin"))</f>
        <v>Post-retraite</v>
      </c>
      <c r="D30" s="52" t="n">
        <f aca="false">IF(C30="Activité",Hypothèses!$B$6*(1+Hypothèses!$B$7)^(B30-1),0)</f>
        <v>0</v>
      </c>
      <c r="E30" s="54" t="n">
        <f aca="false">E29+D30</f>
        <v>60</v>
      </c>
      <c r="F30" s="55" t="n">
        <f aca="false">D30*(Hypothèses!$B$12-Hypothèses!$B$13-Hypothèses!$B$14)</f>
        <v>0</v>
      </c>
      <c r="G30" s="55" t="n">
        <f aca="false">(D29*0.05+D28*0.07+D27*0.05+D26*0.03)*Hypothèses!$B$18</f>
        <v>0</v>
      </c>
      <c r="H30" s="55" t="n">
        <f aca="false">MIN(E30,Hypothèses!$B$6*Hypothèses!$B$25)*IF(B30&lt;=5,Hypothèses!$B$23,Hypothèses!$B$24)*Hypothèses!$B$21</f>
        <v>960</v>
      </c>
      <c r="I30" s="55" t="n">
        <f aca="false">MIN(E30,Hypothèses!$B$6*Hypothèses!$B$25)*Hypothèses!$B$17*IF(B30&lt;=5,Hypothèses!$B$23,Hypothèses!$B$24)*Hypothèses!$B$22</f>
        <v>192</v>
      </c>
      <c r="J30" s="55" t="n">
        <v>0</v>
      </c>
      <c r="K30" s="56" t="n">
        <f aca="false">IF(C30="Activité",IF(B30=1,Hypothèses!$B$28,Hypothèses!$B$29),0)</f>
        <v>0</v>
      </c>
      <c r="L30" s="57" t="n">
        <f aca="false">F30+G30+H30+I30+J30-K30</f>
        <v>1152</v>
      </c>
      <c r="M30" s="58" t="n">
        <f aca="false">M29+L30</f>
        <v>97440</v>
      </c>
    </row>
    <row r="31" customFormat="false" ht="18" hidden="false" customHeight="true" outlineLevel="0" collapsed="false">
      <c r="A31" s="59" t="n">
        <f aca="false">2024+26</f>
        <v>2050</v>
      </c>
      <c r="B31" s="60" t="n">
        <v>26</v>
      </c>
      <c r="C31" s="60" t="str">
        <f aca="false">IF(B31&lt;=Hypothèses!$B$8,"Activité",IF(B31&lt;=Hypothèses!$B$8+Hypothèses!$B$9,"Post-retraite","Fin"))</f>
        <v>Fin</v>
      </c>
      <c r="D31" s="59" t="n">
        <f aca="false">IF(C31="Activité",Hypothèses!$B$6*(1+Hypothèses!$B$7)^(B31-1),0)</f>
        <v>0</v>
      </c>
      <c r="E31" s="61" t="n">
        <f aca="false">E30+D31</f>
        <v>60</v>
      </c>
      <c r="F31" s="62" t="n">
        <f aca="false">D31*(Hypothèses!$B$12-Hypothèses!$B$13-Hypothèses!$B$14)</f>
        <v>0</v>
      </c>
      <c r="G31" s="62" t="n">
        <f aca="false">(D30*0.05+D29*0.07+D28*0.05+D27*0.03)*Hypothèses!$B$18</f>
        <v>0</v>
      </c>
      <c r="H31" s="62" t="n">
        <f aca="false">MIN(E31,Hypothèses!$B$6*Hypothèses!$B$25)*IF(B31&lt;=5,Hypothèses!$B$23,Hypothèses!$B$24)*Hypothèses!$B$21</f>
        <v>960</v>
      </c>
      <c r="I31" s="62" t="n">
        <f aca="false">MIN(E31,Hypothèses!$B$6*Hypothèses!$B$25)*Hypothèses!$B$17*IF(B31&lt;=5,Hypothèses!$B$23,Hypothèses!$B$24)*Hypothèses!$B$22</f>
        <v>192</v>
      </c>
      <c r="J31" s="62" t="n">
        <v>0</v>
      </c>
      <c r="K31" s="63" t="n">
        <f aca="false">IF(C31="Activité",IF(B31=1,Hypothèses!$B$28,Hypothèses!$B$29),0)</f>
        <v>0</v>
      </c>
      <c r="L31" s="64" t="n">
        <f aca="false">F31+G31+H31+I31+J31-K31</f>
        <v>1152</v>
      </c>
      <c r="M31" s="65" t="n">
        <f aca="false">M30+L31</f>
        <v>98592</v>
      </c>
    </row>
    <row r="32" customFormat="false" ht="18" hidden="false" customHeight="true" outlineLevel="0" collapsed="false">
      <c r="A32" s="52" t="n">
        <f aca="false">2024+27</f>
        <v>2051</v>
      </c>
      <c r="B32" s="53" t="n">
        <v>27</v>
      </c>
      <c r="C32" s="53" t="str">
        <f aca="false">IF(B32&lt;=Hypothèses!$B$8,"Activité",IF(B32&lt;=Hypothèses!$B$8+Hypothèses!$B$9,"Post-retraite","Fin"))</f>
        <v>Fin</v>
      </c>
      <c r="D32" s="52" t="n">
        <f aca="false">IF(C32="Activité",Hypothèses!$B$6*(1+Hypothèses!$B$7)^(B32-1),0)</f>
        <v>0</v>
      </c>
      <c r="E32" s="54" t="n">
        <f aca="false">E31+D32</f>
        <v>60</v>
      </c>
      <c r="F32" s="55" t="n">
        <f aca="false">D32*(Hypothèses!$B$12-Hypothèses!$B$13-Hypothèses!$B$14)</f>
        <v>0</v>
      </c>
      <c r="G32" s="55" t="n">
        <f aca="false">(D31*0.05+D30*0.07+D29*0.05+D28*0.03)*Hypothèses!$B$18</f>
        <v>0</v>
      </c>
      <c r="H32" s="55" t="n">
        <f aca="false">MIN(E32,Hypothèses!$B$6*Hypothèses!$B$25)*IF(B32&lt;=5,Hypothèses!$B$23,Hypothèses!$B$24)*Hypothèses!$B$21</f>
        <v>960</v>
      </c>
      <c r="I32" s="55" t="n">
        <f aca="false">MIN(E32,Hypothèses!$B$6*Hypothèses!$B$25)*Hypothèses!$B$17*IF(B32&lt;=5,Hypothèses!$B$23,Hypothèses!$B$24)*Hypothèses!$B$22</f>
        <v>192</v>
      </c>
      <c r="J32" s="55" t="n">
        <v>0</v>
      </c>
      <c r="K32" s="56" t="n">
        <f aca="false">IF(C32="Activité",IF(B32=1,Hypothèses!$B$28,Hypothèses!$B$29),0)</f>
        <v>0</v>
      </c>
      <c r="L32" s="57" t="n">
        <f aca="false">F32+G32+H32+I32+J32-K32</f>
        <v>1152</v>
      </c>
      <c r="M32" s="58" t="n">
        <f aca="false">M31+L32</f>
        <v>99744</v>
      </c>
    </row>
    <row r="33" customFormat="false" ht="18" hidden="false" customHeight="true" outlineLevel="0" collapsed="false">
      <c r="A33" s="59" t="n">
        <f aca="false">2024+28</f>
        <v>2052</v>
      </c>
      <c r="B33" s="60" t="n">
        <v>28</v>
      </c>
      <c r="C33" s="60" t="str">
        <f aca="false">IF(B33&lt;=Hypothèses!$B$8,"Activité",IF(B33&lt;=Hypothèses!$B$8+Hypothèses!$B$9,"Post-retraite","Fin"))</f>
        <v>Fin</v>
      </c>
      <c r="D33" s="59" t="n">
        <f aca="false">IF(C33="Activité",Hypothèses!$B$6*(1+Hypothèses!$B$7)^(B33-1),0)</f>
        <v>0</v>
      </c>
      <c r="E33" s="61" t="n">
        <f aca="false">E32+D33</f>
        <v>60</v>
      </c>
      <c r="F33" s="62" t="n">
        <f aca="false">D33*(Hypothèses!$B$12-Hypothèses!$B$13-Hypothèses!$B$14)</f>
        <v>0</v>
      </c>
      <c r="G33" s="62" t="n">
        <f aca="false">(D32*0.05+D31*0.07+D30*0.05+D29*0.03)*Hypothèses!$B$18</f>
        <v>0</v>
      </c>
      <c r="H33" s="62" t="n">
        <f aca="false">MIN(E33,Hypothèses!$B$6*Hypothèses!$B$25)*IF(B33&lt;=5,Hypothèses!$B$23,Hypothèses!$B$24)*Hypothèses!$B$21</f>
        <v>960</v>
      </c>
      <c r="I33" s="62" t="n">
        <f aca="false">MIN(E33,Hypothèses!$B$6*Hypothèses!$B$25)*Hypothèses!$B$17*IF(B33&lt;=5,Hypothèses!$B$23,Hypothèses!$B$24)*Hypothèses!$B$22</f>
        <v>192</v>
      </c>
      <c r="J33" s="62" t="n">
        <v>0</v>
      </c>
      <c r="K33" s="63" t="n">
        <f aca="false">IF(C33="Activité",IF(B33=1,Hypothèses!$B$28,Hypothèses!$B$29),0)</f>
        <v>0</v>
      </c>
      <c r="L33" s="64" t="n">
        <f aca="false">F33+G33+H33+I33+J33-K33</f>
        <v>1152</v>
      </c>
      <c r="M33" s="65" t="n">
        <f aca="false">M32+L33</f>
        <v>100896</v>
      </c>
    </row>
    <row r="34" customFormat="false" ht="18" hidden="false" customHeight="true" outlineLevel="0" collapsed="false">
      <c r="A34" s="52" t="n">
        <f aca="false">2024+29</f>
        <v>2053</v>
      </c>
      <c r="B34" s="53" t="n">
        <v>29</v>
      </c>
      <c r="C34" s="53" t="str">
        <f aca="false">IF(B34&lt;=Hypothèses!$B$8,"Activité",IF(B34&lt;=Hypothèses!$B$8+Hypothèses!$B$9,"Post-retraite","Fin"))</f>
        <v>Fin</v>
      </c>
      <c r="D34" s="52" t="n">
        <f aca="false">IF(C34="Activité",Hypothèses!$B$6*(1+Hypothèses!$B$7)^(B34-1),0)</f>
        <v>0</v>
      </c>
      <c r="E34" s="54" t="n">
        <f aca="false">E33+D34</f>
        <v>60</v>
      </c>
      <c r="F34" s="55" t="n">
        <f aca="false">D34*(Hypothèses!$B$12-Hypothèses!$B$13-Hypothèses!$B$14)</f>
        <v>0</v>
      </c>
      <c r="G34" s="55" t="n">
        <f aca="false">(D33*0.05+D32*0.07+D31*0.05+D30*0.03)*Hypothèses!$B$18</f>
        <v>0</v>
      </c>
      <c r="H34" s="55" t="n">
        <f aca="false">MIN(E34,Hypothèses!$B$6*Hypothèses!$B$25)*IF(B34&lt;=5,Hypothèses!$B$23,Hypothèses!$B$24)*Hypothèses!$B$21</f>
        <v>960</v>
      </c>
      <c r="I34" s="55" t="n">
        <f aca="false">MIN(E34,Hypothèses!$B$6*Hypothèses!$B$25)*Hypothèses!$B$17*IF(B34&lt;=5,Hypothèses!$B$23,Hypothèses!$B$24)*Hypothèses!$B$22</f>
        <v>192</v>
      </c>
      <c r="J34" s="55" t="n">
        <v>0</v>
      </c>
      <c r="K34" s="56" t="n">
        <f aca="false">IF(C34="Activité",IF(B34=1,Hypothèses!$B$28,Hypothèses!$B$29),0)</f>
        <v>0</v>
      </c>
      <c r="L34" s="57" t="n">
        <f aca="false">F34+G34+H34+I34+J34-K34</f>
        <v>1152</v>
      </c>
      <c r="M34" s="58" t="n">
        <f aca="false">M33+L34</f>
        <v>102048</v>
      </c>
    </row>
    <row r="35" customFormat="false" ht="18" hidden="false" customHeight="true" outlineLevel="0" collapsed="false">
      <c r="A35" s="59" t="n">
        <f aca="false">2024+30</f>
        <v>2054</v>
      </c>
      <c r="B35" s="60" t="n">
        <v>30</v>
      </c>
      <c r="C35" s="60" t="str">
        <f aca="false">IF(B35&lt;=Hypothèses!$B$8,"Activité",IF(B35&lt;=Hypothèses!$B$8+Hypothèses!$B$9,"Post-retraite","Fin"))</f>
        <v>Fin</v>
      </c>
      <c r="D35" s="59" t="n">
        <f aca="false">IF(C35="Activité",Hypothèses!$B$6*(1+Hypothèses!$B$7)^(B35-1),0)</f>
        <v>0</v>
      </c>
      <c r="E35" s="61" t="n">
        <f aca="false">E34+D35</f>
        <v>60</v>
      </c>
      <c r="F35" s="62" t="n">
        <f aca="false">D35*(Hypothèses!$B$12-Hypothèses!$B$13-Hypothèses!$B$14)</f>
        <v>0</v>
      </c>
      <c r="G35" s="62" t="n">
        <f aca="false">(D34*0.05+D33*0.07+D32*0.05+D31*0.03)*Hypothèses!$B$18</f>
        <v>0</v>
      </c>
      <c r="H35" s="62" t="n">
        <f aca="false">MIN(E35,Hypothèses!$B$6*Hypothèses!$B$25)*IF(B35&lt;=5,Hypothèses!$B$23,Hypothèses!$B$24)*Hypothèses!$B$21</f>
        <v>960</v>
      </c>
      <c r="I35" s="62" t="n">
        <f aca="false">MIN(E35,Hypothèses!$B$6*Hypothèses!$B$25)*Hypothèses!$B$17*IF(B35&lt;=5,Hypothèses!$B$23,Hypothèses!$B$24)*Hypothèses!$B$22</f>
        <v>192</v>
      </c>
      <c r="J35" s="62" t="n">
        <v>0</v>
      </c>
      <c r="K35" s="63" t="n">
        <f aca="false">IF(C35="Activité",IF(B35=1,Hypothèses!$B$28,Hypothèses!$B$29),0)</f>
        <v>0</v>
      </c>
      <c r="L35" s="64" t="n">
        <f aca="false">F35+G35+H35+I35+J35-K35</f>
        <v>1152</v>
      </c>
      <c r="M35" s="65" t="n">
        <f aca="false">M34+L35</f>
        <v>103200</v>
      </c>
    </row>
    <row r="36" customFormat="false" ht="27.75" hidden="false" customHeight="true" outlineLevel="0" collapsed="false">
      <c r="A36" s="66" t="s">
        <v>131</v>
      </c>
      <c r="B36" s="66"/>
      <c r="C36" s="66"/>
      <c r="D36" s="66"/>
      <c r="E36" s="66"/>
      <c r="F36" s="67" t="n">
        <f aca="false">SUM(F6:F35)</f>
        <v>84000</v>
      </c>
      <c r="G36" s="67" t="n">
        <f aca="false">SUM(G6:G35)</f>
        <v>3000</v>
      </c>
      <c r="H36" s="67" t="n">
        <f aca="false">SUM(H6:H35)</f>
        <v>22200</v>
      </c>
      <c r="I36" s="67" t="n">
        <f aca="false">SUM(I6:I35)</f>
        <v>4440</v>
      </c>
      <c r="J36" s="67" t="n">
        <f aca="false">SUM(J6:J35)</f>
        <v>0</v>
      </c>
      <c r="K36" s="68" t="n">
        <f aca="false">SUM(K6:K35)</f>
        <v>10440</v>
      </c>
      <c r="L36" s="67" t="n">
        <f aca="false">SUM(L6:L35)</f>
        <v>103200</v>
      </c>
      <c r="M36" s="67" t="n">
        <f aca="false">M35</f>
        <v>103200</v>
      </c>
    </row>
  </sheetData>
  <mergeCells count="3">
    <mergeCell ref="A1:K2"/>
    <mergeCell ref="A3:K3"/>
    <mergeCell ref="A36:E36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41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6" min="1" style="0" width="14"/>
  </cols>
  <sheetData>
    <row r="1" customFormat="false" ht="15" hidden="false" customHeight="false" outlineLevel="0" collapsed="false">
      <c r="A1" s="15" t="s">
        <v>132</v>
      </c>
      <c r="B1" s="15"/>
      <c r="C1" s="15"/>
      <c r="D1" s="15"/>
      <c r="E1" s="15"/>
      <c r="F1" s="15"/>
    </row>
    <row r="2" customFormat="false" ht="15" hidden="false" customHeight="false" outlineLevel="0" collapsed="false">
      <c r="A2" s="15"/>
      <c r="B2" s="15"/>
      <c r="C2" s="15"/>
      <c r="D2" s="15"/>
      <c r="E2" s="15"/>
      <c r="F2" s="15"/>
    </row>
    <row r="3" customFormat="false" ht="21.75" hidden="false" customHeight="true" outlineLevel="0" collapsed="false">
      <c r="A3" s="16" t="s">
        <v>133</v>
      </c>
      <c r="B3" s="16"/>
      <c r="C3" s="16"/>
      <c r="D3" s="16"/>
      <c r="E3" s="16"/>
      <c r="F3" s="16"/>
    </row>
    <row r="5" customFormat="false" ht="25.5" hidden="false" customHeight="true" outlineLevel="0" collapsed="false">
      <c r="A5" s="69" t="s">
        <v>134</v>
      </c>
      <c r="B5" s="69"/>
      <c r="C5" s="69" t="s">
        <v>135</v>
      </c>
      <c r="D5" s="69"/>
      <c r="E5" s="69" t="s">
        <v>136</v>
      </c>
      <c r="F5" s="69"/>
    </row>
    <row r="6" customFormat="false" ht="33.75" hidden="false" customHeight="true" outlineLevel="0" collapsed="false">
      <c r="A6" s="70" t="n">
        <f aca="false">Simulation!M35</f>
        <v>103200</v>
      </c>
      <c r="B6" s="70"/>
      <c r="C6" s="70" t="n">
        <f aca="false">Simulation!M35/30</f>
        <v>3440</v>
      </c>
      <c r="D6" s="70"/>
      <c r="E6" s="70" t="n">
        <f aca="false">MAX(Simulation!L6:L35)</f>
        <v>6232</v>
      </c>
      <c r="F6" s="70"/>
    </row>
    <row r="8" customFormat="false" ht="25.5" hidden="false" customHeight="true" outlineLevel="0" collapsed="false">
      <c r="A8" s="71" t="s">
        <v>137</v>
      </c>
      <c r="B8" s="71"/>
      <c r="C8" s="71" t="s">
        <v>138</v>
      </c>
      <c r="D8" s="71"/>
      <c r="E8" s="71" t="s">
        <v>139</v>
      </c>
      <c r="F8" s="71"/>
    </row>
    <row r="9" customFormat="false" ht="33.75" hidden="false" customHeight="true" outlineLevel="0" collapsed="false">
      <c r="A9" s="72" t="n">
        <f aca="false">SUM(Simulation!D6:D35)</f>
        <v>60</v>
      </c>
      <c r="B9" s="72"/>
      <c r="C9" s="70" t="n">
        <f aca="false">SUMIFS(Simulation!L6:L35,Simulation!C6:C35,"Post-retraite")</f>
        <v>11980</v>
      </c>
      <c r="D9" s="70"/>
      <c r="E9" s="73" t="n">
        <f aca="false">INDEX(Simulation!E6:E35,Hypothèses!B8)</f>
        <v>60</v>
      </c>
      <c r="F9" s="73"/>
    </row>
    <row r="12" customFormat="false" ht="24" hidden="false" customHeight="true" outlineLevel="0" collapsed="false">
      <c r="A12" s="74" t="s">
        <v>140</v>
      </c>
      <c r="B12" s="74"/>
      <c r="C12" s="74"/>
      <c r="D12" s="74"/>
      <c r="E12" s="74"/>
      <c r="F12" s="74"/>
    </row>
    <row r="13" customFormat="false" ht="21.75" hidden="false" customHeight="true" outlineLevel="0" collapsed="false">
      <c r="A13" s="31" t="s">
        <v>141</v>
      </c>
      <c r="B13" s="31"/>
      <c r="C13" s="31"/>
      <c r="D13" s="25" t="s">
        <v>142</v>
      </c>
      <c r="E13" s="25"/>
      <c r="F13" s="25" t="s">
        <v>84</v>
      </c>
    </row>
    <row r="14" customFormat="false" ht="21.75" hidden="false" customHeight="true" outlineLevel="0" collapsed="false">
      <c r="A14" s="75" t="s">
        <v>143</v>
      </c>
      <c r="B14" s="75"/>
      <c r="C14" s="75"/>
      <c r="D14" s="76" t="n">
        <f aca="false">Simulation!F36</f>
        <v>84000</v>
      </c>
      <c r="E14" s="76"/>
      <c r="F14" s="77" t="n">
        <f aca="false">IFERROR(D14/$D$20,0)</f>
        <v>0.813953488372093</v>
      </c>
    </row>
    <row r="15" customFormat="false" ht="21.75" hidden="false" customHeight="true" outlineLevel="0" collapsed="false">
      <c r="A15" s="78" t="s">
        <v>144</v>
      </c>
      <c r="B15" s="78"/>
      <c r="C15" s="78"/>
      <c r="D15" s="79" t="n">
        <f aca="false">Simulation!G36</f>
        <v>3000</v>
      </c>
      <c r="E15" s="79"/>
      <c r="F15" s="80" t="n">
        <f aca="false">IFERROR(D15/$D$20,0)</f>
        <v>0.0290697674418605</v>
      </c>
    </row>
    <row r="16" customFormat="false" ht="21.75" hidden="false" customHeight="true" outlineLevel="0" collapsed="false">
      <c r="A16" s="75" t="s">
        <v>145</v>
      </c>
      <c r="B16" s="75"/>
      <c r="C16" s="75"/>
      <c r="D16" s="76" t="n">
        <f aca="false">Simulation!H36</f>
        <v>22200</v>
      </c>
      <c r="E16" s="76"/>
      <c r="F16" s="77" t="n">
        <f aca="false">IFERROR(D16/$D$20,0)</f>
        <v>0.215116279069767</v>
      </c>
    </row>
    <row r="17" customFormat="false" ht="21.75" hidden="false" customHeight="true" outlineLevel="0" collapsed="false">
      <c r="A17" s="78" t="s">
        <v>146</v>
      </c>
      <c r="B17" s="78"/>
      <c r="C17" s="78"/>
      <c r="D17" s="79" t="n">
        <f aca="false">Simulation!I36</f>
        <v>4440</v>
      </c>
      <c r="E17" s="79"/>
      <c r="F17" s="80" t="n">
        <f aca="false">IFERROR(D17/$D$20,0)</f>
        <v>0.0430232558139535</v>
      </c>
    </row>
    <row r="18" customFormat="false" ht="21.75" hidden="false" customHeight="true" outlineLevel="0" collapsed="false">
      <c r="A18" s="81" t="s">
        <v>147</v>
      </c>
      <c r="B18" s="81"/>
      <c r="C18" s="81"/>
      <c r="D18" s="82" t="n">
        <f aca="false">Simulation!J36</f>
        <v>0</v>
      </c>
      <c r="E18" s="82"/>
      <c r="F18" s="83" t="n">
        <f aca="false">IFERROR(D18/$D$20,0)</f>
        <v>0</v>
      </c>
    </row>
    <row r="19" customFormat="false" ht="21.75" hidden="false" customHeight="true" outlineLevel="0" collapsed="false">
      <c r="A19" s="84" t="s">
        <v>148</v>
      </c>
      <c r="B19" s="84"/>
      <c r="C19" s="84"/>
      <c r="D19" s="38" t="n">
        <f aca="false">-Simulation!K36</f>
        <v>-10440</v>
      </c>
      <c r="E19" s="38"/>
      <c r="F19" s="85" t="n">
        <f aca="false">IFERROR(D19/$D$20,0)</f>
        <v>-0.101162790697674</v>
      </c>
    </row>
    <row r="20" customFormat="false" ht="21.75" hidden="false" customHeight="true" outlineLevel="0" collapsed="false">
      <c r="A20" s="75" t="s">
        <v>149</v>
      </c>
      <c r="B20" s="75"/>
      <c r="C20" s="75"/>
      <c r="D20" s="76" t="n">
        <f aca="false">Simulation!L36</f>
        <v>103200</v>
      </c>
      <c r="E20" s="76"/>
      <c r="F20" s="77" t="n">
        <f aca="false">1</f>
        <v>1</v>
      </c>
    </row>
    <row r="40" customFormat="false" ht="31.5" hidden="false" customHeight="true" outlineLevel="0" collapsed="false">
      <c r="A40" s="86" t="s">
        <v>150</v>
      </c>
      <c r="B40" s="86"/>
      <c r="C40" s="86"/>
      <c r="D40" s="86"/>
      <c r="E40" s="86"/>
      <c r="F40" s="86"/>
    </row>
    <row r="41" customFormat="false" ht="24" hidden="false" customHeight="true" outlineLevel="0" collapsed="false">
      <c r="A41" s="14" t="s">
        <v>151</v>
      </c>
      <c r="B41" s="14"/>
      <c r="C41" s="14"/>
      <c r="D41" s="14"/>
      <c r="E41" s="14"/>
      <c r="F41" s="14"/>
    </row>
  </sheetData>
  <mergeCells count="33">
    <mergeCell ref="A1:F2"/>
    <mergeCell ref="A3:F3"/>
    <mergeCell ref="A5:B5"/>
    <mergeCell ref="C5:D5"/>
    <mergeCell ref="E5:F5"/>
    <mergeCell ref="A6:B6"/>
    <mergeCell ref="C6:D6"/>
    <mergeCell ref="E6:F6"/>
    <mergeCell ref="A8:B8"/>
    <mergeCell ref="C8:D8"/>
    <mergeCell ref="E8:F8"/>
    <mergeCell ref="A9:B9"/>
    <mergeCell ref="C9:D9"/>
    <mergeCell ref="E9:F9"/>
    <mergeCell ref="A12:F12"/>
    <mergeCell ref="A13:C13"/>
    <mergeCell ref="D13:E13"/>
    <mergeCell ref="A14:C14"/>
    <mergeCell ref="D14:E1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20:C20"/>
    <mergeCell ref="D20:E20"/>
    <mergeCell ref="A40:F40"/>
    <mergeCell ref="A41:F4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2"/>
    <col collapsed="false" customWidth="true" hidden="false" outlineLevel="0" max="5" min="2" style="0" width="13"/>
    <col collapsed="false" customWidth="true" hidden="false" outlineLevel="0" max="6" min="6" style="0" width="18"/>
  </cols>
  <sheetData>
    <row r="1" customFormat="false" ht="15" hidden="false" customHeight="false" outlineLevel="0" collapsed="false">
      <c r="A1" s="15" t="s">
        <v>152</v>
      </c>
      <c r="B1" s="15"/>
      <c r="C1" s="15"/>
      <c r="D1" s="15"/>
      <c r="E1" s="15"/>
      <c r="F1" s="15"/>
    </row>
    <row r="2" customFormat="false" ht="15" hidden="false" customHeight="false" outlineLevel="0" collapsed="false">
      <c r="A2" s="15"/>
      <c r="B2" s="15"/>
      <c r="C2" s="15"/>
      <c r="D2" s="15"/>
      <c r="E2" s="15"/>
      <c r="F2" s="15"/>
    </row>
    <row r="3" customFormat="false" ht="21.75" hidden="false" customHeight="true" outlineLevel="0" collapsed="false">
      <c r="A3" s="16" t="s">
        <v>153</v>
      </c>
      <c r="B3" s="16"/>
      <c r="C3" s="16"/>
      <c r="D3" s="16"/>
      <c r="E3" s="16"/>
      <c r="F3" s="16"/>
    </row>
    <row r="5" customFormat="false" ht="25.5" hidden="false" customHeight="true" outlineLevel="0" collapsed="false">
      <c r="A5" s="25" t="s">
        <v>154</v>
      </c>
      <c r="B5" s="25" t="s">
        <v>155</v>
      </c>
      <c r="C5" s="25"/>
      <c r="D5" s="25" t="s">
        <v>156</v>
      </c>
      <c r="E5" s="25"/>
      <c r="F5" s="25" t="s">
        <v>157</v>
      </c>
    </row>
    <row r="6" customFormat="false" ht="25.5" hidden="false" customHeight="true" outlineLevel="0" collapsed="false">
      <c r="A6" s="87" t="s">
        <v>158</v>
      </c>
      <c r="B6" s="88" t="n">
        <f aca="false">Simulation!F36</f>
        <v>84000</v>
      </c>
      <c r="C6" s="88"/>
      <c r="D6" s="38" t="n">
        <f aca="false">Simulation!F36</f>
        <v>84000</v>
      </c>
      <c r="E6" s="38"/>
      <c r="F6" s="89" t="n">
        <f aca="false">D6-B6</f>
        <v>0</v>
      </c>
    </row>
    <row r="7" customFormat="false" ht="25.5" hidden="false" customHeight="true" outlineLevel="0" collapsed="false">
      <c r="A7" s="87" t="s">
        <v>159</v>
      </c>
      <c r="B7" s="90" t="n">
        <v>0</v>
      </c>
      <c r="C7" s="90"/>
      <c r="D7" s="38" t="n">
        <f aca="false">Simulation!G36</f>
        <v>3000</v>
      </c>
      <c r="E7" s="38"/>
      <c r="F7" s="89" t="n">
        <f aca="false">D7-B7</f>
        <v>3000</v>
      </c>
    </row>
    <row r="8" customFormat="false" ht="25.5" hidden="false" customHeight="true" outlineLevel="0" collapsed="false">
      <c r="A8" s="87" t="s">
        <v>160</v>
      </c>
      <c r="B8" s="90" t="n">
        <v>0</v>
      </c>
      <c r="C8" s="90"/>
      <c r="D8" s="38" t="n">
        <f aca="false">Simulation!H36</f>
        <v>22200</v>
      </c>
      <c r="E8" s="38"/>
      <c r="F8" s="89" t="n">
        <f aca="false">D8-B8</f>
        <v>22200</v>
      </c>
    </row>
    <row r="9" customFormat="false" ht="25.5" hidden="false" customHeight="true" outlineLevel="0" collapsed="false">
      <c r="A9" s="87" t="s">
        <v>161</v>
      </c>
      <c r="B9" s="90" t="n">
        <v>0</v>
      </c>
      <c r="C9" s="90"/>
      <c r="D9" s="38" t="n">
        <f aca="false">Simulation!I36</f>
        <v>4440</v>
      </c>
      <c r="E9" s="38"/>
      <c r="F9" s="89" t="n">
        <f aca="false">D9-B9</f>
        <v>4440</v>
      </c>
    </row>
    <row r="10" customFormat="false" ht="25.5" hidden="false" customHeight="true" outlineLevel="0" collapsed="false">
      <c r="A10" s="87" t="s">
        <v>162</v>
      </c>
      <c r="B10" s="90" t="n">
        <v>0</v>
      </c>
      <c r="C10" s="90"/>
      <c r="D10" s="38" t="n">
        <f aca="false">Simulation!J36</f>
        <v>0</v>
      </c>
      <c r="E10" s="38"/>
      <c r="F10" s="89" t="n">
        <f aca="false">D10-B10</f>
        <v>0</v>
      </c>
    </row>
    <row r="11" customFormat="false" ht="25.5" hidden="false" customHeight="true" outlineLevel="0" collapsed="false">
      <c r="A11" s="87" t="s">
        <v>163</v>
      </c>
      <c r="B11" s="90" t="n">
        <v>0</v>
      </c>
      <c r="C11" s="90"/>
      <c r="D11" s="38" t="n">
        <f aca="false">-Simulation!K36</f>
        <v>-10440</v>
      </c>
      <c r="E11" s="38"/>
      <c r="F11" s="89" t="n">
        <f aca="false">D11-B11</f>
        <v>-10440</v>
      </c>
    </row>
    <row r="12" customFormat="false" ht="25.5" hidden="false" customHeight="true" outlineLevel="0" collapsed="false">
      <c r="A12" s="87" t="s">
        <v>164</v>
      </c>
      <c r="B12" s="90" t="n">
        <v>0</v>
      </c>
      <c r="C12" s="90"/>
      <c r="D12" s="38" t="n">
        <f aca="false">SUMIFS(Simulation!L6:L35,Simulation!C6:C35,"Post-retraite")</f>
        <v>11980</v>
      </c>
      <c r="E12" s="38"/>
      <c r="F12" s="89" t="n">
        <f aca="false">D12-B12</f>
        <v>11980</v>
      </c>
    </row>
    <row r="13" customFormat="false" ht="36" hidden="false" customHeight="true" outlineLevel="0" collapsed="false">
      <c r="A13" s="29" t="s">
        <v>165</v>
      </c>
      <c r="B13" s="91" t="n">
        <f aca="false">SUM(B6:B12)</f>
        <v>84000</v>
      </c>
      <c r="C13" s="91"/>
      <c r="D13" s="34" t="n">
        <f aca="false">SUM(D6:D12)</f>
        <v>115180</v>
      </c>
      <c r="E13" s="34"/>
      <c r="F13" s="92" t="n">
        <f aca="false">D13-B13</f>
        <v>31180</v>
      </c>
    </row>
    <row r="15" customFormat="false" ht="25.5" hidden="false" customHeight="true" outlineLevel="0" collapsed="false">
      <c r="A15" s="66" t="s">
        <v>166</v>
      </c>
      <c r="B15" s="66"/>
      <c r="C15" s="66"/>
      <c r="D15" s="66"/>
      <c r="E15" s="66"/>
      <c r="F15" s="66"/>
    </row>
    <row r="16" customFormat="false" ht="36" hidden="false" customHeight="true" outlineLevel="0" collapsed="false">
      <c r="A16" s="93" t="str">
        <f aca="false">"+ "&amp;TEXT(F13,"#,##0")&amp;" €" &amp; " sur la durée du programme — soit " &amp; TEXT(F13/30,"#,##0") &amp; " €/an en moyenne"</f>
        <v>+ 31,180 € sur la durée du programme — soit 1,039 €/an en moyenne</v>
      </c>
      <c r="B16" s="93"/>
      <c r="C16" s="93"/>
      <c r="D16" s="93"/>
      <c r="E16" s="93"/>
      <c r="F16" s="93"/>
    </row>
    <row r="19" customFormat="false" ht="27.75" hidden="false" customHeight="true" outlineLevel="0" collapsed="false">
      <c r="A19" s="40" t="s">
        <v>167</v>
      </c>
      <c r="B19" s="40"/>
      <c r="C19" s="40"/>
      <c r="D19" s="40"/>
      <c r="E19" s="40"/>
      <c r="F19" s="40"/>
    </row>
    <row r="20" customFormat="false" ht="21.75" hidden="false" customHeight="true" outlineLevel="0" collapsed="false">
      <c r="A20" s="14" t="s">
        <v>168</v>
      </c>
      <c r="B20" s="14"/>
      <c r="C20" s="14"/>
      <c r="D20" s="14"/>
      <c r="E20" s="14"/>
      <c r="F20" s="14"/>
    </row>
  </sheetData>
  <mergeCells count="24">
    <mergeCell ref="A1:F2"/>
    <mergeCell ref="A3:F3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A15:F15"/>
    <mergeCell ref="A16:F16"/>
    <mergeCell ref="A19:F19"/>
    <mergeCell ref="A20:F2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2026-05-16T23:41:05Z</dcterms:created>
  <dc:creator>openpyxl</dc:creator>
  <dc:description/>
  <dc:language>en-US</dc:language>
  <cp:lastModifiedBy/>
  <dcterms:modified xsi:type="dcterms:W3CDTF">2026-05-16T23:41:08Z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